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 activeTab="1"/>
  </bookViews>
  <sheets>
    <sheet name="Приложение 1  " sheetId="4" r:id="rId1"/>
    <sheet name="Приложение 2" sheetId="1" r:id="rId2"/>
  </sheets>
  <definedNames>
    <definedName name="_xlnm._FilterDatabase" localSheetId="0" hidden="1">'Приложение 1  '!$A$10:$G$252</definedName>
    <definedName name="_xlnm._FilterDatabase" localSheetId="1" hidden="1">'Приложение 2'!$A$12:$F$129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" i="1"/>
  <c r="G212" i="4"/>
  <c r="G151"/>
  <c r="G60"/>
  <c r="E17"/>
  <c r="E225"/>
  <c r="E70"/>
  <c r="E103"/>
  <c r="G30" l="1"/>
  <c r="E68"/>
  <c r="D46" i="1" l="1"/>
  <c r="D47"/>
  <c r="F46"/>
  <c r="D14"/>
  <c r="G195" i="4"/>
  <c r="G241" l="1"/>
  <c r="G247"/>
  <c r="E247" s="1"/>
  <c r="G33" l="1"/>
  <c r="G230"/>
  <c r="E230" s="1"/>
  <c r="G224"/>
  <c r="E229"/>
  <c r="G193"/>
  <c r="E102"/>
  <c r="G51"/>
  <c r="E51" s="1"/>
  <c r="G148"/>
  <c r="D84" i="1"/>
  <c r="G145" i="4"/>
  <c r="E146"/>
  <c r="E109" l="1"/>
  <c r="G95"/>
  <c r="D87" i="1"/>
  <c r="E241" i="4"/>
  <c r="G238"/>
  <c r="E166"/>
  <c r="G110"/>
  <c r="E85"/>
  <c r="E211"/>
  <c r="E182"/>
  <c r="E181"/>
  <c r="E156"/>
  <c r="E157"/>
  <c r="E158"/>
  <c r="E147"/>
  <c r="E137"/>
  <c r="G87"/>
  <c r="E83"/>
  <c r="E65"/>
  <c r="E38"/>
  <c r="E33"/>
  <c r="G26"/>
  <c r="E26" s="1"/>
  <c r="E18"/>
  <c r="E231" l="1"/>
  <c r="G21"/>
  <c r="G20"/>
  <c r="E154" l="1"/>
  <c r="G178"/>
  <c r="G116" l="1"/>
  <c r="E115"/>
  <c r="E44" l="1"/>
  <c r="D32" i="1"/>
  <c r="D33"/>
  <c r="F69"/>
  <c r="E48" i="4"/>
  <c r="D15" i="1" l="1"/>
  <c r="G130" i="4"/>
  <c r="E187"/>
  <c r="E245" l="1"/>
  <c r="D91" i="1" l="1"/>
  <c r="F92"/>
  <c r="D92" s="1"/>
  <c r="D90"/>
  <c r="E167" i="4"/>
  <c r="E168"/>
  <c r="G144" l="1"/>
  <c r="E143"/>
  <c r="F24" i="1" l="1"/>
  <c r="F66" l="1"/>
  <c r="E193" i="4" l="1"/>
  <c r="E169"/>
  <c r="E162"/>
  <c r="E163"/>
  <c r="E164"/>
  <c r="E165"/>
  <c r="D45" i="1" l="1"/>
  <c r="D110"/>
  <c r="G104" i="4"/>
  <c r="E60"/>
  <c r="G106"/>
  <c r="E106" s="1"/>
  <c r="G222"/>
  <c r="G237"/>
  <c r="E237" s="1"/>
  <c r="D13" i="1"/>
  <c r="D16"/>
  <c r="B17"/>
  <c r="D17"/>
  <c r="D18"/>
  <c r="D19"/>
  <c r="D20"/>
  <c r="D21"/>
  <c r="D22"/>
  <c r="D23"/>
  <c r="D24"/>
  <c r="D25"/>
  <c r="D26"/>
  <c r="B27"/>
  <c r="B18" s="1"/>
  <c r="D27"/>
  <c r="B28"/>
  <c r="D28"/>
  <c r="D29"/>
  <c r="D30"/>
  <c r="D31"/>
  <c r="D35"/>
  <c r="D36"/>
  <c r="D37"/>
  <c r="D38"/>
  <c r="B39"/>
  <c r="B34" s="1"/>
  <c r="D39"/>
  <c r="D40"/>
  <c r="D41"/>
  <c r="D42"/>
  <c r="D43"/>
  <c r="F44"/>
  <c r="D44" s="1"/>
  <c r="D48"/>
  <c r="D49"/>
  <c r="D50"/>
  <c r="D52"/>
  <c r="D53"/>
  <c r="B54"/>
  <c r="D54"/>
  <c r="B55"/>
  <c r="D55"/>
  <c r="D56"/>
  <c r="D57"/>
  <c r="D58"/>
  <c r="D59"/>
  <c r="D60"/>
  <c r="D61"/>
  <c r="D62"/>
  <c r="D63"/>
  <c r="D64"/>
  <c r="D65"/>
  <c r="B66"/>
  <c r="D66"/>
  <c r="D67"/>
  <c r="B68"/>
  <c r="D68"/>
  <c r="B69"/>
  <c r="D69"/>
  <c r="D70"/>
  <c r="D71"/>
  <c r="D72"/>
  <c r="D73"/>
  <c r="D74"/>
  <c r="D75"/>
  <c r="D76"/>
  <c r="D77"/>
  <c r="D78"/>
  <c r="D79"/>
  <c r="D80"/>
  <c r="D81"/>
  <c r="B82"/>
  <c r="D82"/>
  <c r="D83"/>
  <c r="D85"/>
  <c r="F86"/>
  <c r="D86" s="1"/>
  <c r="D88"/>
  <c r="D89"/>
  <c r="B93"/>
  <c r="D93"/>
  <c r="D94"/>
  <c r="D95"/>
  <c r="D96"/>
  <c r="F97"/>
  <c r="D97" s="1"/>
  <c r="F98"/>
  <c r="D98" s="1"/>
  <c r="D99"/>
  <c r="D100"/>
  <c r="D101"/>
  <c r="D102"/>
  <c r="D103"/>
  <c r="D104"/>
  <c r="D105"/>
  <c r="D106"/>
  <c r="B107"/>
  <c r="D107"/>
  <c r="D108"/>
  <c r="B109"/>
  <c r="B114" s="1"/>
  <c r="B117" s="1"/>
  <c r="D109"/>
  <c r="D111"/>
  <c r="D112"/>
  <c r="D113"/>
  <c r="D114"/>
  <c r="D115"/>
  <c r="D116"/>
  <c r="D117"/>
  <c r="D118"/>
  <c r="D119"/>
  <c r="E61" i="4"/>
  <c r="E171"/>
  <c r="E172"/>
  <c r="E81"/>
  <c r="E24"/>
  <c r="E41"/>
  <c r="E91"/>
  <c r="E40"/>
  <c r="E219"/>
  <c r="B36" i="1" l="1"/>
  <c r="B35"/>
  <c r="E145" i="4"/>
  <c r="E150"/>
  <c r="E135"/>
  <c r="G28"/>
  <c r="G92" l="1"/>
  <c r="E92" s="1"/>
  <c r="E222"/>
  <c r="E29"/>
  <c r="E250"/>
  <c r="F249"/>
  <c r="E248"/>
  <c r="E246"/>
  <c r="E244"/>
  <c r="E243"/>
  <c r="E242"/>
  <c r="G249"/>
  <c r="E239"/>
  <c r="E238"/>
  <c r="F236"/>
  <c r="G235"/>
  <c r="E235" s="1"/>
  <c r="G234"/>
  <c r="E232"/>
  <c r="E228"/>
  <c r="E227"/>
  <c r="E226"/>
  <c r="E224"/>
  <c r="E223"/>
  <c r="F222"/>
  <c r="F221"/>
  <c r="E220"/>
  <c r="E218"/>
  <c r="E217"/>
  <c r="G216"/>
  <c r="E216" s="1"/>
  <c r="E215"/>
  <c r="E214"/>
  <c r="C214"/>
  <c r="E213"/>
  <c r="E212"/>
  <c r="C212"/>
  <c r="C244" s="1"/>
  <c r="E210"/>
  <c r="E209"/>
  <c r="E208"/>
  <c r="E207"/>
  <c r="E206"/>
  <c r="E205"/>
  <c r="E195"/>
  <c r="G194"/>
  <c r="E194" s="1"/>
  <c r="G192"/>
  <c r="E192" s="1"/>
  <c r="G191"/>
  <c r="E191" s="1"/>
  <c r="C191"/>
  <c r="E190"/>
  <c r="C190"/>
  <c r="C205" s="1"/>
  <c r="G189"/>
  <c r="E189" s="1"/>
  <c r="E188"/>
  <c r="E186"/>
  <c r="E185"/>
  <c r="E184"/>
  <c r="E183"/>
  <c r="E180"/>
  <c r="G179"/>
  <c r="E178"/>
  <c r="E177"/>
  <c r="E176"/>
  <c r="E175"/>
  <c r="E174"/>
  <c r="E173"/>
  <c r="G170"/>
  <c r="E170" s="1"/>
  <c r="E161"/>
  <c r="E160"/>
  <c r="E159"/>
  <c r="G155"/>
  <c r="E155" s="1"/>
  <c r="E153"/>
  <c r="E152"/>
  <c r="E151"/>
  <c r="E149"/>
  <c r="E148"/>
  <c r="E144"/>
  <c r="E142"/>
  <c r="E141"/>
  <c r="G140"/>
  <c r="E140" s="1"/>
  <c r="E139"/>
  <c r="E138"/>
  <c r="E136"/>
  <c r="E134"/>
  <c r="E133"/>
  <c r="E132"/>
  <c r="E131"/>
  <c r="E130"/>
  <c r="E129"/>
  <c r="E128"/>
  <c r="E127"/>
  <c r="E126"/>
  <c r="G125"/>
  <c r="E125" s="1"/>
  <c r="E124"/>
  <c r="C124"/>
  <c r="C176" s="1"/>
  <c r="E123"/>
  <c r="E122"/>
  <c r="G121"/>
  <c r="E121" s="1"/>
  <c r="E120"/>
  <c r="E119"/>
  <c r="E118"/>
  <c r="C118"/>
  <c r="C134" s="1"/>
  <c r="C140" s="1"/>
  <c r="C170" s="1"/>
  <c r="C194" s="1"/>
  <c r="E117"/>
  <c r="E116"/>
  <c r="E114"/>
  <c r="E113"/>
  <c r="G112"/>
  <c r="E112" s="1"/>
  <c r="E111"/>
  <c r="E110"/>
  <c r="C110"/>
  <c r="C132" s="1"/>
  <c r="C148" s="1"/>
  <c r="E108"/>
  <c r="E107"/>
  <c r="F106"/>
  <c r="F105"/>
  <c r="E104"/>
  <c r="E101"/>
  <c r="C101"/>
  <c r="E100"/>
  <c r="E99"/>
  <c r="E98"/>
  <c r="E97"/>
  <c r="E96"/>
  <c r="E95"/>
  <c r="E94"/>
  <c r="E93"/>
  <c r="E90"/>
  <c r="E89"/>
  <c r="E88"/>
  <c r="E87"/>
  <c r="E86"/>
  <c r="E84"/>
  <c r="E82"/>
  <c r="E80"/>
  <c r="E79"/>
  <c r="E78"/>
  <c r="E77"/>
  <c r="E76"/>
  <c r="E75"/>
  <c r="C75"/>
  <c r="E74"/>
  <c r="E73"/>
  <c r="E71"/>
  <c r="C69"/>
  <c r="E67"/>
  <c r="E66"/>
  <c r="G64"/>
  <c r="E64" s="1"/>
  <c r="E63"/>
  <c r="E62"/>
  <c r="E59"/>
  <c r="E58"/>
  <c r="E57"/>
  <c r="E56"/>
  <c r="G55"/>
  <c r="G54"/>
  <c r="E54" s="1"/>
  <c r="E53"/>
  <c r="E52"/>
  <c r="E50"/>
  <c r="E49"/>
  <c r="E47"/>
  <c r="G46"/>
  <c r="E46" s="1"/>
  <c r="E45"/>
  <c r="G43"/>
  <c r="E43" s="1"/>
  <c r="G42"/>
  <c r="E42" s="1"/>
  <c r="E39"/>
  <c r="E37"/>
  <c r="E36"/>
  <c r="G35"/>
  <c r="E35" s="1"/>
  <c r="E34"/>
  <c r="G32"/>
  <c r="G31"/>
  <c r="E31" s="1"/>
  <c r="E30"/>
  <c r="E28"/>
  <c r="E27"/>
  <c r="E25"/>
  <c r="E23"/>
  <c r="E22"/>
  <c r="E21"/>
  <c r="E20"/>
  <c r="G19"/>
  <c r="E16"/>
  <c r="E15"/>
  <c r="E14"/>
  <c r="E13"/>
  <c r="E12"/>
  <c r="E11"/>
  <c r="E19" l="1"/>
  <c r="G105"/>
  <c r="E179"/>
  <c r="E221" s="1"/>
  <c r="E234"/>
  <c r="G233"/>
  <c r="F251"/>
  <c r="E240"/>
  <c r="E249" s="1"/>
  <c r="C122"/>
  <c r="G252"/>
  <c r="E252" s="1"/>
  <c r="C208"/>
  <c r="C220" s="1"/>
  <c r="C201"/>
  <c r="C131"/>
  <c r="C183"/>
  <c r="G221"/>
  <c r="C159"/>
  <c r="C185"/>
  <c r="E32"/>
  <c r="E55"/>
  <c r="E105" l="1"/>
  <c r="G236"/>
  <c r="E233"/>
  <c r="E236" s="1"/>
  <c r="G251" l="1"/>
  <c r="E251"/>
  <c r="E120" i="1" l="1"/>
  <c r="F128" l="1"/>
  <c r="E128"/>
  <c r="D127"/>
  <c r="D126"/>
  <c r="D125"/>
  <c r="D124"/>
  <c r="D123"/>
  <c r="D122"/>
  <c r="D121"/>
  <c r="F120" l="1"/>
  <c r="E129"/>
  <c r="D128"/>
  <c r="D120" l="1"/>
  <c r="D129" s="1"/>
  <c r="F129"/>
</calcChain>
</file>

<file path=xl/sharedStrings.xml><?xml version="1.0" encoding="utf-8"?>
<sst xmlns="http://schemas.openxmlformats.org/spreadsheetml/2006/main" count="469" uniqueCount="322">
  <si>
    <t>Наименование учреждения</t>
  </si>
  <si>
    <t>Наименование работ</t>
  </si>
  <si>
    <t>Наименование субсидии</t>
  </si>
  <si>
    <t>Стоимость работ, всего</t>
  </si>
  <si>
    <t>в том числе по источникам финансирования</t>
  </si>
  <si>
    <t>средства областного бюджета</t>
  </si>
  <si>
    <t>средства бюджета Златоустовского городского округа</t>
  </si>
  <si>
    <t>МАДОУ "Детский сад комбинированного вида № 2"</t>
  </si>
  <si>
    <t>Установка стационарной тревожной кнопки</t>
  </si>
  <si>
    <t>Субсидия на проведение мероприятий по профилактике терроризма и экстремизма, а также минимизации и (или) ликвидации последствий проявлений терроризма и экстремизма</t>
  </si>
  <si>
    <t>МАДОУ "Детский сад комбинированного вида № 7"</t>
  </si>
  <si>
    <t>ремонт системы видеонаблюдения</t>
  </si>
  <si>
    <t>МАДОУ "Детский сад комбинированного вида № 15"</t>
  </si>
  <si>
    <t>МАДОУ "Детский сад комбинированного вида № 17"</t>
  </si>
  <si>
    <t>МАДОУ "Детский сад комбинированного вида № 24"</t>
  </si>
  <si>
    <t>Монтаж системы контроля доступа</t>
  </si>
  <si>
    <t>Монтаж системы экстренного оповещения</t>
  </si>
  <si>
    <t>МАДОУ "Детский сад комбинированного вида № 29"</t>
  </si>
  <si>
    <t>МАДОУ "Детский сад комбинированного вида № 36"</t>
  </si>
  <si>
    <t>МАДОУ "Детский сад № 38"</t>
  </si>
  <si>
    <t>МАДОУ "Детский сад № 39"</t>
  </si>
  <si>
    <t>МАДОУ "Детский сад № 43"</t>
  </si>
  <si>
    <t>МАДОУ "Детский сад № 44"</t>
  </si>
  <si>
    <t>Монтаж системы оповещения</t>
  </si>
  <si>
    <t>МАДОУ "Детский сад № 52"</t>
  </si>
  <si>
    <t>Ремонт охранной сигнализации</t>
  </si>
  <si>
    <t>МАДОУ "Детский сад комбинированного вида № 50"</t>
  </si>
  <si>
    <t>МАДОУ "Детский сад комбинированного вида № 58"</t>
  </si>
  <si>
    <t>МАДОУ "Детский сад комбинированного вида № 62"</t>
  </si>
  <si>
    <t>Замена входных дверей</t>
  </si>
  <si>
    <t>МАДОУ "Детский сад комбинированного вида № 63"</t>
  </si>
  <si>
    <t>МАДОУ "Детский сад комбинированного вида № 65"</t>
  </si>
  <si>
    <t>МАДОУ "Детский сад №71"</t>
  </si>
  <si>
    <t>МАДОУ "Детский сад №72"</t>
  </si>
  <si>
    <t>МАДОУ "Детский сад №73"</t>
  </si>
  <si>
    <t>МАДОУ "Детский сад №77"</t>
  </si>
  <si>
    <t>МАДОУ "Детский сад №81"</t>
  </si>
  <si>
    <t>МАДОУ "Детский сад комбинированного вида № 82"</t>
  </si>
  <si>
    <t>МАДОУ "Детский сад комбинированного вида № 84"</t>
  </si>
  <si>
    <t>Обеспечение физической квалифицированной охраной</t>
  </si>
  <si>
    <t>МАДОУ "Детский сад № 87"</t>
  </si>
  <si>
    <t>Установка ограждения</t>
  </si>
  <si>
    <t>МАДОУ "Детский сад комбинированного вида № 90"</t>
  </si>
  <si>
    <t>МАДОУ "Детский сад №92"</t>
  </si>
  <si>
    <t>Монтаж дверей, электрозамков, калиток, в том числе приобретение материалов</t>
  </si>
  <si>
    <t>МАДОУ "Детский сад комбинированного вида № 95"</t>
  </si>
  <si>
    <t>МАДОУ "Детский сад комбинированного вида № 96"</t>
  </si>
  <si>
    <t>МАДОУ "Детский сад комбинированного вида № 98"</t>
  </si>
  <si>
    <t>МАДОУ "Детский сад комбинированного вида № 143"</t>
  </si>
  <si>
    <t>МАОУ СОШ №1</t>
  </si>
  <si>
    <t>МАОУ СОШ №2</t>
  </si>
  <si>
    <t>Монтаж дополнительных камер, системы охранного телевидения на въездные ворота</t>
  </si>
  <si>
    <t>МАОУ СОШ №3</t>
  </si>
  <si>
    <t>Ремонт ограждения территории</t>
  </si>
  <si>
    <t>Замена наружных видеокамер</t>
  </si>
  <si>
    <t>Монтаж системы контроля управления доступом</t>
  </si>
  <si>
    <t>МАОУ СОШ №4</t>
  </si>
  <si>
    <t>МАОУ СОШ №8</t>
  </si>
  <si>
    <t>приобретение видеорегистратора</t>
  </si>
  <si>
    <t>МАОУ СОШ №9</t>
  </si>
  <si>
    <t>МАОУ СОШ №10</t>
  </si>
  <si>
    <t>Монтаж охранной сигнализации</t>
  </si>
  <si>
    <t>МАОУ СОШ №13</t>
  </si>
  <si>
    <t>МАОУ СОШ №15</t>
  </si>
  <si>
    <t>МАОУ СОШ № 18</t>
  </si>
  <si>
    <t xml:space="preserve">Монтаж системы экстренного оповещения МАОУ СОШ № 18, СП ООШ 12, СП ООШ 19 </t>
  </si>
  <si>
    <t>МАОУ СОШ №21</t>
  </si>
  <si>
    <t>МАОУ СОШ №25</t>
  </si>
  <si>
    <t>МАОУ СОШ №34</t>
  </si>
  <si>
    <t>МАОУ СОШ № 35</t>
  </si>
  <si>
    <t>Установка системы видеонаблюдения</t>
  </si>
  <si>
    <t>Монтаж тревожной кнопки и электрозамков</t>
  </si>
  <si>
    <t>МАОУ СОШ № 36</t>
  </si>
  <si>
    <t>МАОУ СОШ № 37</t>
  </si>
  <si>
    <t>Монтаж охранной сигнализации, дооборудование системы видеонаблюдения, в том числе строительный контроль</t>
  </si>
  <si>
    <t>МАОУ СОШ № 38</t>
  </si>
  <si>
    <t>МАОУ СОШ № 45</t>
  </si>
  <si>
    <t xml:space="preserve">МАОУ СОШ № 90 </t>
  </si>
  <si>
    <t>Ремонт ограждения МАОУ СОШ № 90 СП О-ООШ № 77</t>
  </si>
  <si>
    <t>Установка тревожной сигнализации</t>
  </si>
  <si>
    <t>Установка системы видеонаблюдения МАОУ СОШ №90 СП ООШ №41</t>
  </si>
  <si>
    <t>Установка ограждения МАОУ СОШ №90</t>
  </si>
  <si>
    <t>МАУ ШИ №31</t>
  </si>
  <si>
    <t>Монтаж СКУД на ворота</t>
  </si>
  <si>
    <t>Установка арочного металлодетектора</t>
  </si>
  <si>
    <t>МАУ Начальная школа №25</t>
  </si>
  <si>
    <t>МАУ ЦООД Горный</t>
  </si>
  <si>
    <t>Монтаж уличного речевого оповещения</t>
  </si>
  <si>
    <t>ИТОГО по направлению</t>
  </si>
  <si>
    <t>Субсидия на обеспечение образовательных организаций 1,2 категории квалифицированной охраной</t>
  </si>
  <si>
    <t>МАОУ СОШ №35</t>
  </si>
  <si>
    <t>МАОУ СОШ №36</t>
  </si>
  <si>
    <t>МАОУ СОШ №37</t>
  </si>
  <si>
    <t>МАОУ СОШ №38</t>
  </si>
  <si>
    <t>МАОУ СОШ №90</t>
  </si>
  <si>
    <t>ИТОГО:</t>
  </si>
  <si>
    <t>Тип учреждения</t>
  </si>
  <si>
    <t>средства областного и федерального бюджетов</t>
  </si>
  <si>
    <t>Дошкольные учреждения</t>
  </si>
  <si>
    <t>МАДОУ "Детский сад №2"</t>
  </si>
  <si>
    <t>Монтаж системы пожарной сигнализации</t>
  </si>
  <si>
    <t>Ремонт и противопожарные мероприятия</t>
  </si>
  <si>
    <t>Установка расходомера на обратном трубопроводе</t>
  </si>
  <si>
    <t>Установка межкомнатных дверей</t>
  </si>
  <si>
    <t>МАДОУ "Детский сад №4"</t>
  </si>
  <si>
    <t>Аварийный ремонт электрики</t>
  </si>
  <si>
    <t>Замена окон</t>
  </si>
  <si>
    <t>МАДОУ "Детский сад №5"</t>
  </si>
  <si>
    <t>Ремонт потолка</t>
  </si>
  <si>
    <t>Замена дверей, окон</t>
  </si>
  <si>
    <t>МАДОУ "Детский сад №7"</t>
  </si>
  <si>
    <t>Прокладка трубопровода</t>
  </si>
  <si>
    <t>МАДОУ "Детский сад №15"</t>
  </si>
  <si>
    <t>Аварийный ремонт канализации</t>
  </si>
  <si>
    <t>Ремонт входной группы</t>
  </si>
  <si>
    <t>Ремонт кровли частичный</t>
  </si>
  <si>
    <t>МАДОУ "Детский сад № 29"</t>
  </si>
  <si>
    <t>Ремонт  кровли, в том числе разработка проектной и проектно-сметной документации и услуги по техническому надзору (строительному контролю)</t>
  </si>
  <si>
    <t>Замена оконных блоков</t>
  </si>
  <si>
    <t>Ремонт системы электроснабжения, в том числе разработка проекта и проектно-сметной документации</t>
  </si>
  <si>
    <t>МАДОУ "Детский сад № 24"</t>
  </si>
  <si>
    <t>МАДОУ "Детский сад № 33"</t>
  </si>
  <si>
    <t>Ремонтные работы на лестничном пролете 1 и 2 этажом</t>
  </si>
  <si>
    <t>МАДОУ "Детский сад № 34"</t>
  </si>
  <si>
    <t>Монтаж узла учета тепловой энергии</t>
  </si>
  <si>
    <t>МАДОУ "Детский сад № 36"</t>
  </si>
  <si>
    <t>Аварийный ремонт теплотрассы</t>
  </si>
  <si>
    <t>Ремонт крылец</t>
  </si>
  <si>
    <t>Ремонт лестниц</t>
  </si>
  <si>
    <t>МАДОУ "Детский сад № 47"</t>
  </si>
  <si>
    <t>Ремонт санитарного узла и замена оконных блоков</t>
  </si>
  <si>
    <t>МАДОУ "Детский сад № 50"</t>
  </si>
  <si>
    <t>Техническое обслуживание системы АПС</t>
  </si>
  <si>
    <t>МАДОУ "Детский сад № 58"</t>
  </si>
  <si>
    <t>Ремонт спортивной площадки</t>
  </si>
  <si>
    <t>Облицовка фасада</t>
  </si>
  <si>
    <t>Замена оконных блоков и дверей</t>
  </si>
  <si>
    <t>МАДОУ "Детский сад № 59"</t>
  </si>
  <si>
    <t>Замена 2-х металлических дверей эвакуационного выхода</t>
  </si>
  <si>
    <t>Замена групповых светильников, замена входных дверей, замена межкомнатных дверей</t>
  </si>
  <si>
    <t>Ремонт туалетных комнат в ясельной группе</t>
  </si>
  <si>
    <t>МАДОУ "Детский сад № 62"</t>
  </si>
  <si>
    <t>Замена окон и дверей</t>
  </si>
  <si>
    <t>МАДОУ "Детский сад № 65"</t>
  </si>
  <si>
    <t>Демонтаж опор освещения</t>
  </si>
  <si>
    <t>МАДОУ "Детский сад № 71"</t>
  </si>
  <si>
    <t>МАДОУ "Детский сад № 73"</t>
  </si>
  <si>
    <t>Ремонт кровли</t>
  </si>
  <si>
    <t>Ремонт кровли СП ДС 69</t>
  </si>
  <si>
    <t>Аварийный ремонт ввода ХВС</t>
  </si>
  <si>
    <t>Ремонт внутренней системы отопления</t>
  </si>
  <si>
    <t>МАДОУ "Детский сад № 75"</t>
  </si>
  <si>
    <t>Установка циркуляционного насоса</t>
  </si>
  <si>
    <t>Разработка проекта на демонтаж здания</t>
  </si>
  <si>
    <t>Ремонт лестниц входной группы</t>
  </si>
  <si>
    <t>Ремонт цоколя и козырьков</t>
  </si>
  <si>
    <t>МАДОУ Детский сад №77</t>
  </si>
  <si>
    <t>Ремонт напольного покрытия</t>
  </si>
  <si>
    <t>МАДОУ Детский сад №80</t>
  </si>
  <si>
    <t>МАДОУ Детский сад №82</t>
  </si>
  <si>
    <t>Ремонт системы отопления</t>
  </si>
  <si>
    <t>МАДОУ Детский сад №84</t>
  </si>
  <si>
    <t>МАДОУ Детский сад №87</t>
  </si>
  <si>
    <t>Устройство входной группы</t>
  </si>
  <si>
    <t>Замена системы холодного водоснабжения (аварийные работы)</t>
  </si>
  <si>
    <t>Устройство отмостки вокруг здания</t>
  </si>
  <si>
    <t>МАДОУ "Детский сад №90"</t>
  </si>
  <si>
    <t>МАДОУ "Детский сад №91"</t>
  </si>
  <si>
    <t>МАДОУ Детский сад №92</t>
  </si>
  <si>
    <t>МАДОУ Детский сад №95</t>
  </si>
  <si>
    <t>МАДОУ "Детский сад № 98"</t>
  </si>
  <si>
    <t>Ремонт лестничных маршей</t>
  </si>
  <si>
    <t>ремонт ступеней эвакуационного выхода</t>
  </si>
  <si>
    <t>МАДОУ "Детский сад № 209"</t>
  </si>
  <si>
    <t>из них на проведение противопожарных мероприятий</t>
  </si>
  <si>
    <t>Замена дверей, установка сантехнических перегородок</t>
  </si>
  <si>
    <t>Ремонт комнаты детских инициатив, в том числе приобретение строительных материалов</t>
  </si>
  <si>
    <t>Ремонт помещений</t>
  </si>
  <si>
    <t>Монтаж узла учета тепловой энергии, в том числе установка расходомера</t>
  </si>
  <si>
    <t>Ремонт кабинетов ОГЭ и комнаты детских инициатив, в том числе приобретение строительных материалов</t>
  </si>
  <si>
    <t>Проведение технического обследования здания</t>
  </si>
  <si>
    <t>Приобретение строительных материалов</t>
  </si>
  <si>
    <t>МАОУ СОШ № 4</t>
  </si>
  <si>
    <t>Замена кровли над спортивным залом</t>
  </si>
  <si>
    <t>Установка узла учета тепловой энергии</t>
  </si>
  <si>
    <t>Ремонт туалетов</t>
  </si>
  <si>
    <t>Установка ПАК "Стрелец-Мониторинг"</t>
  </si>
  <si>
    <t>Ремонт кабинетов</t>
  </si>
  <si>
    <t>МАОУ СОШ № 8</t>
  </si>
  <si>
    <t>Ремонт помещений (дополнительные отделочные работы)</t>
  </si>
  <si>
    <t>Ремонт коридоров 1 этажа</t>
  </si>
  <si>
    <t>МАОУ СОШ № 9</t>
  </si>
  <si>
    <t>Ремонт кабинетов ЕГЭ, в том числе приобретение строительных материалов</t>
  </si>
  <si>
    <t>Монтаж металлической двери, доводчиков, стенда пожарной безопасности</t>
  </si>
  <si>
    <t>МАОУ СОШ № 10</t>
  </si>
  <si>
    <t>Аварийный ремонт отопления</t>
  </si>
  <si>
    <t>МАОУ СОШ № 13</t>
  </si>
  <si>
    <t xml:space="preserve">Замена оконных блоков </t>
  </si>
  <si>
    <t>Субсидия на замену окон в общеобразовательных организациях</t>
  </si>
  <si>
    <t>МАОУ СОШ № 15</t>
  </si>
  <si>
    <t>Разработка проектной документации, сметной документации, услуги технического надзора, разработка сметной документации</t>
  </si>
  <si>
    <t>Ремонт узла учета тепловой энергии</t>
  </si>
  <si>
    <t>проектная документация на ремонт подпорной стены</t>
  </si>
  <si>
    <t>замена козырька над входной группой</t>
  </si>
  <si>
    <t>МАОУ СОШ № 21</t>
  </si>
  <si>
    <t>Ремонт помещений МАОУ СОШ №21 СП ООШ №5 (Чкалова, 30)</t>
  </si>
  <si>
    <t>Монтаж узла учета СП ООШ №5</t>
  </si>
  <si>
    <t>МАОУ СОШ № 25</t>
  </si>
  <si>
    <t>Ремонт актового зала</t>
  </si>
  <si>
    <t>МАОУ СОШ № 34</t>
  </si>
  <si>
    <t>Замена дверей и перегородок</t>
  </si>
  <si>
    <t>Капитальный ремонт подпорной стены МАОУ СОШ № 38</t>
  </si>
  <si>
    <t>Замена оконных блоков в МАОУ СОШ № 38 СП-О ООШ № 23</t>
  </si>
  <si>
    <t>Аварийно-восстановительные работы системы канализации</t>
  </si>
  <si>
    <t>Ремонт системы канализации</t>
  </si>
  <si>
    <t>Замена сантехнического оборудования МАОУ СОШ №38 СП-О ООШ №23</t>
  </si>
  <si>
    <t>Ремонт фасада МАОУ СОШ № 38 СП-О ООШ № 23</t>
  </si>
  <si>
    <t>МАОУ СОШ №45</t>
  </si>
  <si>
    <t>МАОУ СОШ № 90</t>
  </si>
  <si>
    <t>Восстановление сети ливневой канализации</t>
  </si>
  <si>
    <t>Замена двери медкабинета</t>
  </si>
  <si>
    <t>Замена оконных блоков МАОУ СОШ №90 СП ООШ №77</t>
  </si>
  <si>
    <t>Обсепечение горячего водоснабжения умывальников</t>
  </si>
  <si>
    <t>МАОУ Начальная школа №25</t>
  </si>
  <si>
    <t>МАУ ДО ДДТ</t>
  </si>
  <si>
    <t>МАУ ДО ДДиЮ</t>
  </si>
  <si>
    <t>МАУ ДО ЦЭВД</t>
  </si>
  <si>
    <t>МАУ ДО ЦЮТ</t>
  </si>
  <si>
    <t>Гидроизоляция балконных плит</t>
  </si>
  <si>
    <t>Замена верхней разводки ГВС</t>
  </si>
  <si>
    <t>МАУ ДО ДвДТ</t>
  </si>
  <si>
    <t>разработка проектной, проектно-сметной документации, научной документации, вкючая услуги по проведению государственой экспертизы докуметов по ремонту объекта культурного наследия</t>
  </si>
  <si>
    <t>Прочие учреждения</t>
  </si>
  <si>
    <t>МАУ ЦООД Лесная сказка</t>
  </si>
  <si>
    <t>Приобретение строительных материалов и ремонт системы отопления</t>
  </si>
  <si>
    <t>ремонт футбольного малого поля</t>
  </si>
  <si>
    <t>Разработка теплотехнического расчета</t>
  </si>
  <si>
    <t>МАУ ЦМИХО</t>
  </si>
  <si>
    <t>Разработка проекта на электричество</t>
  </si>
  <si>
    <t xml:space="preserve">замена вентилей системы отопления </t>
  </si>
  <si>
    <t>Замена счетчика ТЭКОН</t>
  </si>
  <si>
    <t>Общий итог:</t>
  </si>
  <si>
    <t>Разработка проектной документации, сметной документации, услуги технического надзора, разработка сметной документации, а также научно-исследовательские работы по обследованию ограждающих конструкций</t>
  </si>
  <si>
    <t>установка бойлера и ремонт системы отопления</t>
  </si>
  <si>
    <t>МАДОУ Детский сад №137</t>
  </si>
  <si>
    <t>Ремонт системы отопления (спортивного зала, столовой, цеха столовой, коридор)</t>
  </si>
  <si>
    <t>Ремонт стен спортивного зала</t>
  </si>
  <si>
    <t xml:space="preserve">Сумма, рублей
</t>
  </si>
  <si>
    <t>Аварийный ремонт</t>
  </si>
  <si>
    <t>Ремонт системы видеонаблюдения</t>
  </si>
  <si>
    <t>Ремонт наружной электропроводки</t>
  </si>
  <si>
    <t>Демонтаж аварийного участка стены и установка временных опор</t>
  </si>
  <si>
    <t>Учреждения дополнительного образования детей</t>
  </si>
  <si>
    <t>Общеобразовательные учреждения</t>
  </si>
  <si>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2023 год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</si>
  <si>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2023 год</t>
  </si>
  <si>
    <t>Изготовление и монтаж ограждения</t>
  </si>
  <si>
    <t>Замена оконных блоков СП ООШ №29</t>
  </si>
  <si>
    <t>Замена оконных блоков СП ООШ №5</t>
  </si>
  <si>
    <t>Монтаж противопожарной двери, приобретение ГКЛ</t>
  </si>
  <si>
    <t>Ремонт ограждения</t>
  </si>
  <si>
    <t>МАДОУ Детский сад №76</t>
  </si>
  <si>
    <t>Замена трубопровода ХВС, ГВС</t>
  </si>
  <si>
    <t>МАДОУ "Детский сад № 63"</t>
  </si>
  <si>
    <t>Монтаж охранной сигнализации, дооборудование системы видеонаблюдения, в том числе строительный контроль и разработка ПСД</t>
  </si>
  <si>
    <t>Дооборудование системы видеонаблюдения, в том числе приобретение комплектующих</t>
  </si>
  <si>
    <t>Монтаж уличного освещения</t>
  </si>
  <si>
    <t>МАДОУ "Детский сад №75"</t>
  </si>
  <si>
    <t>Ремонт кабинета медицинского</t>
  </si>
  <si>
    <t>Ремонт кровли и замена оконных блоков</t>
  </si>
  <si>
    <t>Аварийный ремонт наружной канализации</t>
  </si>
  <si>
    <t>Аварийные сантехнические работы по адресу г. Златоуст ул. 30-летия ВЛКСМ дом 8, ул. Чкалова дом 30</t>
  </si>
  <si>
    <t>Отогрев системы теплоснабжения на вводе МАОУ СОШ № 21 л. Просвещения, дом 6</t>
  </si>
  <si>
    <t>Аварийный ремонт тепловой сети МАОУ СОШ № 21 СП ООШ 5 по адресу г. Златоуст, ул. 30 лет ВЛКСМ, дом 8</t>
  </si>
  <si>
    <t>Установка ограждения, в том числе осуществление технического надзора и разработка/проверка сметной документации</t>
  </si>
  <si>
    <t>Огнезащитная обработка чердачных покрытий</t>
  </si>
  <si>
    <t>Перенос объектовой станции ПАК Стрелец-мониторинг</t>
  </si>
  <si>
    <t>Монтаж аварийного освещения</t>
  </si>
  <si>
    <t>Замена стеклопакетов</t>
  </si>
  <si>
    <t>Услуги по осуществлению технического надзора по ремонту кровли в ПВХ мембраны по адресу ул. Чкалова до 30</t>
  </si>
  <si>
    <t>Замена труб канализации</t>
  </si>
  <si>
    <t>Замена наружного освещения</t>
  </si>
  <si>
    <t>Монтаж ограждения, дооборудование симтемы видеонаблюдения, услуги технического надзора</t>
  </si>
  <si>
    <t>Замена напольного покрытия</t>
  </si>
  <si>
    <t>ремонт пожарной сигнализации</t>
  </si>
  <si>
    <t>ремонт канализационной системы</t>
  </si>
  <si>
    <t>Ремонт подпорной стены</t>
  </si>
  <si>
    <t xml:space="preserve">Аварийный ремонт канализации, теплосистемы, в том числе приобретение строительных материалов </t>
  </si>
  <si>
    <t>МАДОУ Детский сад №17</t>
  </si>
  <si>
    <t>Аварийные работы (замена насоса, ввод тепла)</t>
  </si>
  <si>
    <t>Аварийный ремонт кровли</t>
  </si>
  <si>
    <t>Замена трубопровода ХВС</t>
  </si>
  <si>
    <t>Замена системы отопления по территории</t>
  </si>
  <si>
    <t>Аварийные работы по замене ввода холодной воды</t>
  </si>
  <si>
    <t xml:space="preserve">Замена трубопровода ХВС </t>
  </si>
  <si>
    <t>Аварийные работы ПАК"Стрелец-Мониторинг" замена блока питания (в следствии горозы) (СП ООШ№19)</t>
  </si>
  <si>
    <t>Арарийные работы по охранной сигнализации. (в следствии грозы) (СП ООШ№19)</t>
  </si>
  <si>
    <t>Аварийные работы по щитку с заменой автоматических выключателей (СП ООШ№12)</t>
  </si>
  <si>
    <t>Аварийные работы по реконструкции освещения в спортивном зале (СП ООШ№12)</t>
  </si>
  <si>
    <t>Аварийно-восстановительные работы по замене наружных сетей водопровода</t>
  </si>
  <si>
    <t>Ремонт ввода теплосети</t>
  </si>
  <si>
    <t>Аврийный ремонт задвижек отопления</t>
  </si>
  <si>
    <t xml:space="preserve">Приобретение строительных материалов </t>
  </si>
  <si>
    <t>Монтаж котлов, в том числе технический надзор</t>
  </si>
  <si>
    <t>Перенос оборудования АПС</t>
  </si>
  <si>
    <t>Ремонт кровли, в том числе оплата технического надзора и перерасчет сметной стоимости</t>
  </si>
  <si>
    <t>Монтаж узла учета тепловой энергии, в том числе разработка проектной документации, сметной документации, услуги технического надзора, разработка сметной документации</t>
  </si>
  <si>
    <t>Аварийный ремонт системы канализации (замена)</t>
  </si>
  <si>
    <t>Ремонт туалетных комнат,  в том числе замена окон  и дверей</t>
  </si>
  <si>
    <t>Ремонт фасада, в том числе приобретение строительных материалов,  электромонтажные работы, ремонт водосточной системы, разработка и проверка сметной документации, а также осущеситвление технического надзора и контроля</t>
  </si>
  <si>
    <t xml:space="preserve"> разработка и проверка сметной документации</t>
  </si>
  <si>
    <t>Огнезащитная обработка деревянных конструкций</t>
  </si>
  <si>
    <t xml:space="preserve">Ремонт водостока, системы канализации, в том числе приобретение сантехнических </t>
  </si>
  <si>
    <t>Аварийный ремонт по частичной замене трубопровода холодного водоснабжения в структурном подразлелении "Детский сад №42"  и проверка сметной документации, замена пола  в групповых ячейках, замена извещателей противопожарных</t>
  </si>
  <si>
    <t>Аварийные ремон теплотрассы</t>
  </si>
  <si>
    <t>МАДОУ Детский сад №72</t>
  </si>
  <si>
    <t>Аварийные ремонт ввода теплосети</t>
  </si>
  <si>
    <t>Ремонт зрительного зала</t>
  </si>
  <si>
    <t>Ремонт системы ПАК Стрелец-мониторинг (замена частей)</t>
  </si>
  <si>
    <t>(рублей)</t>
  </si>
  <si>
    <t xml:space="preserve">ПРИЛОЖЕНИЕ 1
Утверждено
распоряжением Администрации
Златоустовского городского округа
от 28.12.2023 г. № 4172-р/АДМ
</t>
  </si>
  <si>
    <t xml:space="preserve">ПРИЛОЖЕНИЕ 2
Утверждено
распоряжением Администрации
Златоустовского городского округа
от 28.12.2023 г. № 4172-р/АДМ
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</si>
</sst>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;\(#,##0.00\)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wrapText="1" shrinkToFit="1"/>
    </xf>
    <xf numFmtId="164" fontId="2" fillId="2" borderId="0" xfId="1" applyFont="1" applyFill="1" applyAlignment="1">
      <alignment wrapText="1" shrinkToFit="1"/>
    </xf>
    <xf numFmtId="164" fontId="2" fillId="2" borderId="0" xfId="1" applyFont="1" applyFill="1" applyAlignment="1">
      <alignment horizontal="center" vertical="center"/>
    </xf>
    <xf numFmtId="164" fontId="2" fillId="2" borderId="5" xfId="1" applyFont="1" applyFill="1" applyBorder="1" applyAlignment="1">
      <alignment horizontal="right" vertical="center" wrapText="1" shrinkToFit="1"/>
    </xf>
    <xf numFmtId="164" fontId="2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 shrinkToFit="1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right"/>
    </xf>
    <xf numFmtId="165" fontId="6" fillId="2" borderId="5" xfId="0" applyNumberFormat="1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 shrinkToFit="1"/>
    </xf>
    <xf numFmtId="164" fontId="2" fillId="2" borderId="5" xfId="1" applyFont="1" applyFill="1" applyBorder="1" applyAlignment="1">
      <alignment horizontal="right" vertical="center"/>
    </xf>
    <xf numFmtId="164" fontId="7" fillId="2" borderId="5" xfId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 wrapText="1" shrinkToFit="1"/>
    </xf>
    <xf numFmtId="164" fontId="0" fillId="2" borderId="0" xfId="1" applyFont="1" applyFill="1" applyAlignment="1">
      <alignment wrapText="1" shrinkToFit="1"/>
    </xf>
    <xf numFmtId="164" fontId="0" fillId="2" borderId="0" xfId="1" applyFont="1" applyFill="1" applyAlignment="1">
      <alignment horizontal="right"/>
    </xf>
    <xf numFmtId="164" fontId="4" fillId="2" borderId="5" xfId="1" applyFont="1" applyFill="1" applyBorder="1" applyAlignment="1">
      <alignment horizontal="right" vertical="center" wrapText="1" shrinkToFit="1"/>
    </xf>
    <xf numFmtId="164" fontId="2" fillId="0" borderId="5" xfId="1" applyFont="1" applyFill="1" applyBorder="1" applyAlignment="1">
      <alignment horizontal="right" vertical="center" wrapText="1" shrinkToFit="1"/>
    </xf>
    <xf numFmtId="164" fontId="2" fillId="0" borderId="5" xfId="1" applyFont="1" applyFill="1" applyBorder="1" applyAlignment="1">
      <alignment horizontal="center" vertical="center" wrapText="1" shrinkToFit="1"/>
    </xf>
    <xf numFmtId="164" fontId="4" fillId="0" borderId="5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 shrinkToFit="1"/>
    </xf>
    <xf numFmtId="0" fontId="2" fillId="0" borderId="0" xfId="0" applyFont="1"/>
    <xf numFmtId="164" fontId="3" fillId="0" borderId="0" xfId="1" applyFont="1" applyFill="1" applyAlignment="1">
      <alignment wrapText="1" shrinkToFit="1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 shrinkToFit="1"/>
    </xf>
    <xf numFmtId="0" fontId="2" fillId="0" borderId="0" xfId="0" applyFont="1" applyAlignment="1">
      <alignment wrapText="1" shrinkToFit="1"/>
    </xf>
    <xf numFmtId="164" fontId="2" fillId="0" borderId="0" xfId="1" applyFont="1" applyFill="1" applyAlignment="1">
      <alignment wrapText="1" shrinkToFit="1"/>
    </xf>
    <xf numFmtId="164" fontId="2" fillId="0" borderId="0" xfId="1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164" fontId="2" fillId="0" borderId="5" xfId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4" fontId="4" fillId="0" borderId="5" xfId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 shrinkToFit="1"/>
    </xf>
    <xf numFmtId="0" fontId="4" fillId="0" borderId="7" xfId="0" applyFont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 shrinkToFit="1"/>
    </xf>
    <xf numFmtId="0" fontId="5" fillId="2" borderId="5" xfId="0" applyFont="1" applyFill="1" applyBorder="1" applyAlignment="1">
      <alignment horizontal="justify" vertical="center" wrapText="1" shrinkToFit="1"/>
    </xf>
    <xf numFmtId="0" fontId="6" fillId="2" borderId="5" xfId="0" applyFont="1" applyFill="1" applyBorder="1" applyAlignment="1">
      <alignment horizontal="justify" vertical="center" wrapText="1"/>
    </xf>
    <xf numFmtId="0" fontId="2" fillId="2" borderId="5" xfId="2" applyFont="1" applyFill="1" applyBorder="1" applyAlignment="1">
      <alignment horizontal="justify" vertical="center" wrapText="1" shrinkToFit="1"/>
    </xf>
    <xf numFmtId="4" fontId="4" fillId="2" borderId="5" xfId="0" applyNumberFormat="1" applyFont="1" applyFill="1" applyBorder="1" applyAlignment="1">
      <alignment horizontal="justify" vertical="center" wrapText="1"/>
    </xf>
    <xf numFmtId="43" fontId="0" fillId="2" borderId="0" xfId="0" applyNumberFormat="1" applyFill="1"/>
    <xf numFmtId="164" fontId="0" fillId="0" borderId="0" xfId="1" applyFont="1"/>
    <xf numFmtId="164" fontId="0" fillId="2" borderId="0" xfId="1" applyFont="1" applyFill="1"/>
    <xf numFmtId="43" fontId="2" fillId="2" borderId="0" xfId="0" applyNumberFormat="1" applyFont="1" applyFill="1"/>
    <xf numFmtId="164" fontId="2" fillId="3" borderId="0" xfId="1" applyFont="1" applyFill="1"/>
    <xf numFmtId="4" fontId="5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4" fontId="0" fillId="2" borderId="0" xfId="0" applyNumberFormat="1" applyFill="1" applyAlignment="1">
      <alignment wrapText="1" shrinkToFit="1"/>
    </xf>
    <xf numFmtId="164" fontId="4" fillId="2" borderId="0" xfId="1" applyFont="1" applyFill="1" applyAlignment="1">
      <alignment horizontal="center" wrapText="1" shrinkToFit="1"/>
    </xf>
    <xf numFmtId="164" fontId="4" fillId="0" borderId="5" xfId="1" applyFont="1" applyFill="1" applyBorder="1" applyAlignment="1">
      <alignment horizontal="right" vertical="center" wrapText="1" shrinkToFit="1"/>
    </xf>
    <xf numFmtId="164" fontId="9" fillId="2" borderId="0" xfId="1" applyFont="1" applyFill="1" applyAlignment="1">
      <alignment wrapText="1" shrinkToFit="1"/>
    </xf>
    <xf numFmtId="0" fontId="4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164" fontId="4" fillId="2" borderId="5" xfId="1" applyFont="1" applyFill="1" applyBorder="1" applyAlignment="1">
      <alignment horizontal="right" vertical="center"/>
    </xf>
    <xf numFmtId="164" fontId="4" fillId="2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justify" vertical="center" wrapText="1" shrinkToFit="1"/>
    </xf>
    <xf numFmtId="164" fontId="3" fillId="0" borderId="0" xfId="1" applyFont="1" applyFill="1" applyAlignment="1">
      <alignment vertical="top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4" fontId="4" fillId="2" borderId="5" xfId="1" applyFont="1" applyFill="1" applyBorder="1" applyAlignment="1">
      <alignment horizontal="right" vertical="center"/>
    </xf>
    <xf numFmtId="164" fontId="4" fillId="2" borderId="5" xfId="1" applyFont="1" applyFill="1" applyBorder="1" applyAlignment="1">
      <alignment horizontal="center" vertical="center"/>
    </xf>
    <xf numFmtId="164" fontId="3" fillId="0" borderId="0" xfId="1" applyFont="1" applyFill="1" applyAlignment="1">
      <alignment horizontal="center" vertical="top" wrapText="1" shrinkToFit="1"/>
    </xf>
    <xf numFmtId="0" fontId="4" fillId="2" borderId="5" xfId="0" applyFont="1" applyFill="1" applyBorder="1" applyAlignment="1">
      <alignment vertical="center" wrapText="1"/>
    </xf>
    <xf numFmtId="164" fontId="4" fillId="2" borderId="5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164" fontId="3" fillId="0" borderId="0" xfId="1" applyFont="1" applyFill="1" applyAlignment="1">
      <alignment horizontal="center" wrapText="1" shrinkToFi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justify" vertic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164" fontId="2" fillId="0" borderId="1" xfId="1" applyFont="1" applyFill="1" applyBorder="1" applyAlignment="1">
      <alignment horizontal="center" vertical="center" wrapText="1" shrinkToFit="1"/>
    </xf>
    <xf numFmtId="164" fontId="2" fillId="0" borderId="4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4"/>
  <sheetViews>
    <sheetView zoomScale="118" zoomScaleNormal="118" workbookViewId="0">
      <selection activeCell="E1" sqref="E1:G5"/>
    </sheetView>
  </sheetViews>
  <sheetFormatPr defaultColWidth="9.140625" defaultRowHeight="12.75"/>
  <cols>
    <col min="1" max="1" width="15.5703125" style="9" customWidth="1"/>
    <col min="2" max="2" width="25.28515625" style="10" customWidth="1"/>
    <col min="3" max="3" width="34.85546875" style="11" customWidth="1"/>
    <col min="4" max="4" width="18.85546875" style="11" customWidth="1"/>
    <col min="5" max="5" width="16" style="70" customWidth="1"/>
    <col min="6" max="6" width="17.5703125" style="20" customWidth="1"/>
    <col min="7" max="7" width="20.7109375" style="21" customWidth="1"/>
    <col min="8" max="8" width="14.85546875" style="62" bestFit="1" customWidth="1"/>
    <col min="9" max="9" width="16.42578125" style="10" bestFit="1" customWidth="1"/>
    <col min="10" max="16384" width="9.140625" style="10"/>
  </cols>
  <sheetData>
    <row r="1" spans="1:9" customFormat="1" ht="25.5" customHeight="1">
      <c r="A1" s="27"/>
      <c r="C1" s="28"/>
      <c r="D1" s="81"/>
      <c r="E1" s="94" t="s">
        <v>320</v>
      </c>
      <c r="F1" s="94"/>
      <c r="G1" s="94"/>
      <c r="H1" s="61"/>
      <c r="I1" s="10"/>
    </row>
    <row r="2" spans="1:9" customFormat="1" ht="21.75" customHeight="1">
      <c r="A2" s="27"/>
      <c r="C2" s="28"/>
      <c r="D2" s="81"/>
      <c r="E2" s="94"/>
      <c r="F2" s="94"/>
      <c r="G2" s="94"/>
      <c r="H2" s="61"/>
      <c r="I2" s="10"/>
    </row>
    <row r="3" spans="1:9" customFormat="1" ht="16.5" customHeight="1">
      <c r="A3" s="27"/>
      <c r="C3" s="28"/>
      <c r="D3" s="81"/>
      <c r="E3" s="94"/>
      <c r="F3" s="94"/>
      <c r="G3" s="94"/>
      <c r="H3" s="61"/>
      <c r="I3" s="10"/>
    </row>
    <row r="4" spans="1:9" customFormat="1" ht="19.5" customHeight="1">
      <c r="A4" s="27"/>
      <c r="C4" s="28"/>
      <c r="D4" s="81"/>
      <c r="E4" s="94"/>
      <c r="F4" s="94"/>
      <c r="G4" s="94"/>
      <c r="H4" s="61"/>
      <c r="I4" s="10"/>
    </row>
    <row r="5" spans="1:9" customFormat="1" ht="18.75" customHeight="1">
      <c r="A5" s="27"/>
      <c r="C5" s="28"/>
      <c r="D5" s="81"/>
      <c r="E5" s="94"/>
      <c r="F5" s="94"/>
      <c r="G5" s="94"/>
      <c r="H5" s="61"/>
      <c r="I5" s="10"/>
    </row>
    <row r="6" spans="1:9" customFormat="1" ht="9" customHeight="1">
      <c r="A6" s="27"/>
      <c r="C6" s="28"/>
      <c r="D6" s="81"/>
      <c r="E6" s="81"/>
      <c r="F6" s="81"/>
      <c r="G6" s="81"/>
      <c r="H6" s="61"/>
      <c r="I6" s="10"/>
    </row>
    <row r="7" spans="1:9" customFormat="1" ht="33" customHeight="1">
      <c r="A7" s="97" t="s">
        <v>254</v>
      </c>
      <c r="B7" s="97"/>
      <c r="C7" s="97"/>
      <c r="D7" s="97"/>
      <c r="E7" s="97"/>
      <c r="F7" s="97"/>
      <c r="G7" s="97"/>
      <c r="H7" s="61"/>
      <c r="I7" s="10"/>
    </row>
    <row r="8" spans="1:9" s="3" customFormat="1">
      <c r="A8" s="12"/>
      <c r="C8" s="4"/>
      <c r="D8" s="4"/>
      <c r="E8" s="68"/>
      <c r="F8" s="5"/>
      <c r="G8" s="13" t="s">
        <v>319</v>
      </c>
      <c r="H8" s="62"/>
    </row>
    <row r="9" spans="1:9" s="3" customFormat="1">
      <c r="A9" s="82" t="s">
        <v>96</v>
      </c>
      <c r="B9" s="82" t="s">
        <v>0</v>
      </c>
      <c r="C9" s="82" t="s">
        <v>1</v>
      </c>
      <c r="D9" s="82" t="s">
        <v>2</v>
      </c>
      <c r="E9" s="96" t="s">
        <v>247</v>
      </c>
      <c r="F9" s="85" t="s">
        <v>4</v>
      </c>
      <c r="G9" s="85"/>
      <c r="H9" s="62"/>
    </row>
    <row r="10" spans="1:9" s="3" customFormat="1" ht="60" customHeight="1">
      <c r="A10" s="82"/>
      <c r="B10" s="82"/>
      <c r="C10" s="82"/>
      <c r="D10" s="82"/>
      <c r="E10" s="96"/>
      <c r="F10" s="79" t="s">
        <v>97</v>
      </c>
      <c r="G10" s="7" t="s">
        <v>6</v>
      </c>
      <c r="H10" s="62"/>
    </row>
    <row r="11" spans="1:9" s="3" customFormat="1" ht="25.5" customHeight="1">
      <c r="A11" s="82" t="s">
        <v>98</v>
      </c>
      <c r="B11" s="88" t="s">
        <v>99</v>
      </c>
      <c r="C11" s="55" t="s">
        <v>100</v>
      </c>
      <c r="D11" s="82" t="s">
        <v>101</v>
      </c>
      <c r="E11" s="22">
        <f>F11+G11</f>
        <v>1560851</v>
      </c>
      <c r="F11" s="79"/>
      <c r="G11" s="7">
        <v>1560851</v>
      </c>
      <c r="H11" s="62"/>
    </row>
    <row r="12" spans="1:9" s="3" customFormat="1" ht="25.5">
      <c r="A12" s="82"/>
      <c r="B12" s="88"/>
      <c r="C12" s="55" t="s">
        <v>102</v>
      </c>
      <c r="D12" s="82"/>
      <c r="E12" s="22">
        <f>F12+G12</f>
        <v>194000</v>
      </c>
      <c r="F12" s="79"/>
      <c r="G12" s="7">
        <v>194000</v>
      </c>
      <c r="H12" s="62"/>
    </row>
    <row r="13" spans="1:9" s="3" customFormat="1">
      <c r="A13" s="82"/>
      <c r="B13" s="88"/>
      <c r="C13" s="55" t="s">
        <v>103</v>
      </c>
      <c r="D13" s="82"/>
      <c r="E13" s="22">
        <f t="shared" ref="E13:E99" si="0">F13+G13</f>
        <v>154035</v>
      </c>
      <c r="F13" s="79"/>
      <c r="G13" s="7">
        <v>154035</v>
      </c>
      <c r="H13" s="62"/>
    </row>
    <row r="14" spans="1:9" s="3" customFormat="1">
      <c r="A14" s="82"/>
      <c r="B14" s="89" t="s">
        <v>104</v>
      </c>
      <c r="C14" s="55" t="s">
        <v>105</v>
      </c>
      <c r="D14" s="82"/>
      <c r="E14" s="22">
        <f t="shared" si="0"/>
        <v>107100</v>
      </c>
      <c r="F14" s="79"/>
      <c r="G14" s="7">
        <v>107100</v>
      </c>
      <c r="H14" s="62"/>
    </row>
    <row r="15" spans="1:9" s="3" customFormat="1">
      <c r="A15" s="82"/>
      <c r="B15" s="89"/>
      <c r="C15" s="55" t="s">
        <v>106</v>
      </c>
      <c r="D15" s="82"/>
      <c r="E15" s="22">
        <f t="shared" si="0"/>
        <v>65600</v>
      </c>
      <c r="F15" s="79"/>
      <c r="G15" s="7">
        <v>65600</v>
      </c>
      <c r="H15" s="62"/>
    </row>
    <row r="16" spans="1:9" s="3" customFormat="1">
      <c r="A16" s="82"/>
      <c r="B16" s="89" t="s">
        <v>107</v>
      </c>
      <c r="C16" s="55" t="s">
        <v>108</v>
      </c>
      <c r="D16" s="82"/>
      <c r="E16" s="22">
        <f t="shared" si="0"/>
        <v>132000</v>
      </c>
      <c r="F16" s="79"/>
      <c r="G16" s="7">
        <v>132000</v>
      </c>
      <c r="H16" s="62"/>
    </row>
    <row r="17" spans="1:8" s="3" customFormat="1" ht="25.5">
      <c r="A17" s="82"/>
      <c r="B17" s="89"/>
      <c r="C17" s="55" t="s">
        <v>318</v>
      </c>
      <c r="D17" s="82"/>
      <c r="E17" s="22">
        <f t="shared" si="0"/>
        <v>41300</v>
      </c>
      <c r="F17" s="79"/>
      <c r="G17" s="7">
        <v>41300</v>
      </c>
      <c r="H17" s="62"/>
    </row>
    <row r="18" spans="1:8" s="3" customFormat="1" ht="38.25">
      <c r="A18" s="82"/>
      <c r="B18" s="89"/>
      <c r="C18" s="55" t="s">
        <v>287</v>
      </c>
      <c r="D18" s="82"/>
      <c r="E18" s="22">
        <f t="shared" si="0"/>
        <v>104887.36</v>
      </c>
      <c r="F18" s="79"/>
      <c r="G18" s="7">
        <v>104887.36</v>
      </c>
      <c r="H18" s="62"/>
    </row>
    <row r="19" spans="1:8" s="3" customFormat="1">
      <c r="A19" s="82"/>
      <c r="B19" s="89"/>
      <c r="C19" s="55" t="s">
        <v>109</v>
      </c>
      <c r="D19" s="82"/>
      <c r="E19" s="22">
        <f t="shared" si="0"/>
        <v>107600</v>
      </c>
      <c r="F19" s="79"/>
      <c r="G19" s="7">
        <f>53800*2</f>
        <v>107600</v>
      </c>
      <c r="H19" s="62"/>
    </row>
    <row r="20" spans="1:8" s="3" customFormat="1">
      <c r="A20" s="82"/>
      <c r="B20" s="89" t="s">
        <v>110</v>
      </c>
      <c r="C20" s="55" t="s">
        <v>111</v>
      </c>
      <c r="D20" s="82"/>
      <c r="E20" s="22">
        <f t="shared" si="0"/>
        <v>193829.7</v>
      </c>
      <c r="F20" s="79"/>
      <c r="G20" s="7">
        <f>168829.7+25000</f>
        <v>193829.7</v>
      </c>
      <c r="H20" s="62"/>
    </row>
    <row r="21" spans="1:8" s="3" customFormat="1">
      <c r="A21" s="82"/>
      <c r="B21" s="89"/>
      <c r="C21" s="55" t="s">
        <v>106</v>
      </c>
      <c r="D21" s="82"/>
      <c r="E21" s="22">
        <f t="shared" si="0"/>
        <v>161000</v>
      </c>
      <c r="F21" s="79"/>
      <c r="G21" s="7">
        <f>186000-25000</f>
        <v>161000</v>
      </c>
      <c r="H21" s="62"/>
    </row>
    <row r="22" spans="1:8" s="3" customFormat="1">
      <c r="A22" s="82"/>
      <c r="B22" s="89" t="s">
        <v>112</v>
      </c>
      <c r="C22" s="55" t="s">
        <v>113</v>
      </c>
      <c r="D22" s="82"/>
      <c r="E22" s="22">
        <f t="shared" si="0"/>
        <v>42000</v>
      </c>
      <c r="F22" s="79"/>
      <c r="G22" s="7">
        <v>42000</v>
      </c>
      <c r="H22" s="62"/>
    </row>
    <row r="23" spans="1:8" s="3" customFormat="1">
      <c r="A23" s="82"/>
      <c r="B23" s="89"/>
      <c r="C23" s="55" t="s">
        <v>114</v>
      </c>
      <c r="D23" s="82"/>
      <c r="E23" s="22">
        <f t="shared" si="0"/>
        <v>116497</v>
      </c>
      <c r="F23" s="79"/>
      <c r="G23" s="7">
        <v>116497</v>
      </c>
      <c r="H23" s="62"/>
    </row>
    <row r="24" spans="1:8" s="3" customFormat="1">
      <c r="A24" s="82"/>
      <c r="B24" s="89"/>
      <c r="C24" s="55" t="s">
        <v>124</v>
      </c>
      <c r="D24" s="82"/>
      <c r="E24" s="22">
        <f t="shared" si="0"/>
        <v>234700</v>
      </c>
      <c r="F24" s="79"/>
      <c r="G24" s="7">
        <v>234700</v>
      </c>
      <c r="H24" s="62"/>
    </row>
    <row r="25" spans="1:8" s="3" customFormat="1">
      <c r="A25" s="82"/>
      <c r="B25" s="89"/>
      <c r="C25" s="55" t="s">
        <v>115</v>
      </c>
      <c r="D25" s="82"/>
      <c r="E25" s="22">
        <f t="shared" si="0"/>
        <v>366177.49</v>
      </c>
      <c r="F25" s="79"/>
      <c r="G25" s="7">
        <v>366177.49</v>
      </c>
      <c r="H25" s="62"/>
    </row>
    <row r="26" spans="1:8" s="3" customFormat="1" ht="89.25">
      <c r="A26" s="82"/>
      <c r="B26" s="75" t="s">
        <v>288</v>
      </c>
      <c r="C26" s="55" t="s">
        <v>313</v>
      </c>
      <c r="D26" s="82"/>
      <c r="E26" s="22">
        <f t="shared" si="0"/>
        <v>116717.54</v>
      </c>
      <c r="F26" s="79"/>
      <c r="G26" s="7">
        <f>79717.54+37000</f>
        <v>116717.54</v>
      </c>
      <c r="H26" s="62"/>
    </row>
    <row r="27" spans="1:8" s="3" customFormat="1" ht="48.75" customHeight="1">
      <c r="A27" s="82"/>
      <c r="B27" s="95" t="s">
        <v>116</v>
      </c>
      <c r="C27" s="54" t="s">
        <v>117</v>
      </c>
      <c r="D27" s="82"/>
      <c r="E27" s="22">
        <f t="shared" si="0"/>
        <v>250000</v>
      </c>
      <c r="F27" s="7"/>
      <c r="G27" s="73">
        <v>250000</v>
      </c>
      <c r="H27" s="62"/>
    </row>
    <row r="28" spans="1:8" s="3" customFormat="1">
      <c r="A28" s="82"/>
      <c r="B28" s="95"/>
      <c r="C28" s="54" t="s">
        <v>118</v>
      </c>
      <c r="D28" s="82"/>
      <c r="E28" s="22">
        <f t="shared" si="0"/>
        <v>578700</v>
      </c>
      <c r="F28" s="7"/>
      <c r="G28" s="73">
        <f>263700+315000</f>
        <v>578700</v>
      </c>
      <c r="H28" s="62"/>
    </row>
    <row r="29" spans="1:8" s="3" customFormat="1">
      <c r="A29" s="82"/>
      <c r="B29" s="95"/>
      <c r="C29" s="54" t="s">
        <v>147</v>
      </c>
      <c r="D29" s="82"/>
      <c r="E29" s="22">
        <f t="shared" si="0"/>
        <v>3236700</v>
      </c>
      <c r="F29" s="7"/>
      <c r="G29" s="73">
        <v>3236700</v>
      </c>
      <c r="H29" s="62"/>
    </row>
    <row r="30" spans="1:8" s="3" customFormat="1" ht="37.5" customHeight="1">
      <c r="A30" s="82"/>
      <c r="B30" s="95"/>
      <c r="C30" s="54" t="s">
        <v>119</v>
      </c>
      <c r="D30" s="82"/>
      <c r="E30" s="22">
        <f>G30</f>
        <v>3292976.3699999996</v>
      </c>
      <c r="F30" s="7"/>
      <c r="G30" s="73">
        <f>98500+627106+2500000+464528.63-73534.22-275216.24-130673.35+82265.55</f>
        <v>3292976.3699999996</v>
      </c>
      <c r="H30" s="62"/>
    </row>
    <row r="31" spans="1:8" s="3" customFormat="1">
      <c r="A31" s="82"/>
      <c r="B31" s="71" t="s">
        <v>120</v>
      </c>
      <c r="C31" s="54" t="s">
        <v>118</v>
      </c>
      <c r="D31" s="82"/>
      <c r="E31" s="22">
        <f t="shared" si="0"/>
        <v>71000</v>
      </c>
      <c r="F31" s="7"/>
      <c r="G31" s="73">
        <f>112000-41000</f>
        <v>71000</v>
      </c>
      <c r="H31" s="62"/>
    </row>
    <row r="32" spans="1:8" s="3" customFormat="1">
      <c r="A32" s="82"/>
      <c r="B32" s="90" t="s">
        <v>121</v>
      </c>
      <c r="C32" s="54" t="s">
        <v>118</v>
      </c>
      <c r="D32" s="82"/>
      <c r="E32" s="22">
        <f t="shared" si="0"/>
        <v>173500</v>
      </c>
      <c r="F32" s="7"/>
      <c r="G32" s="73">
        <f>92500+81000</f>
        <v>173500</v>
      </c>
      <c r="H32" s="62"/>
    </row>
    <row r="33" spans="1:8" s="3" customFormat="1" ht="25.5">
      <c r="A33" s="82"/>
      <c r="B33" s="90"/>
      <c r="C33" s="54" t="s">
        <v>289</v>
      </c>
      <c r="D33" s="82"/>
      <c r="E33" s="22">
        <f t="shared" si="0"/>
        <v>420723.95</v>
      </c>
      <c r="F33" s="7"/>
      <c r="G33" s="73">
        <f>64800+355923.95</f>
        <v>420723.95</v>
      </c>
      <c r="H33" s="62"/>
    </row>
    <row r="34" spans="1:8" s="3" customFormat="1" ht="25.5">
      <c r="A34" s="82"/>
      <c r="B34" s="90"/>
      <c r="C34" s="54" t="s">
        <v>122</v>
      </c>
      <c r="D34" s="82"/>
      <c r="E34" s="22">
        <f t="shared" si="0"/>
        <v>625888.80000000005</v>
      </c>
      <c r="F34" s="7"/>
      <c r="G34" s="73">
        <v>625888.80000000005</v>
      </c>
      <c r="H34" s="62"/>
    </row>
    <row r="35" spans="1:8" s="3" customFormat="1">
      <c r="A35" s="82"/>
      <c r="B35" s="78" t="s">
        <v>123</v>
      </c>
      <c r="C35" s="54" t="s">
        <v>124</v>
      </c>
      <c r="D35" s="82"/>
      <c r="E35" s="22">
        <f t="shared" si="0"/>
        <v>446300</v>
      </c>
      <c r="F35" s="7"/>
      <c r="G35" s="73">
        <f>249900+196400</f>
        <v>446300</v>
      </c>
      <c r="H35" s="62"/>
    </row>
    <row r="36" spans="1:8" s="3" customFormat="1">
      <c r="A36" s="82"/>
      <c r="B36" s="90" t="s">
        <v>125</v>
      </c>
      <c r="C36" s="54" t="s">
        <v>126</v>
      </c>
      <c r="D36" s="82"/>
      <c r="E36" s="22">
        <f t="shared" si="0"/>
        <v>83200</v>
      </c>
      <c r="F36" s="7"/>
      <c r="G36" s="73">
        <v>83200</v>
      </c>
      <c r="H36" s="62"/>
    </row>
    <row r="37" spans="1:8" s="3" customFormat="1">
      <c r="A37" s="82"/>
      <c r="B37" s="90"/>
      <c r="C37" s="54" t="s">
        <v>127</v>
      </c>
      <c r="D37" s="82"/>
      <c r="E37" s="22">
        <f t="shared" si="0"/>
        <v>165139</v>
      </c>
      <c r="F37" s="7"/>
      <c r="G37" s="73">
        <v>165139</v>
      </c>
      <c r="H37" s="62"/>
    </row>
    <row r="38" spans="1:8" s="3" customFormat="1">
      <c r="A38" s="82"/>
      <c r="B38" s="76" t="s">
        <v>19</v>
      </c>
      <c r="C38" s="54" t="s">
        <v>290</v>
      </c>
      <c r="D38" s="82"/>
      <c r="E38" s="22">
        <f t="shared" si="0"/>
        <v>38096.339999999997</v>
      </c>
      <c r="F38" s="7"/>
      <c r="G38" s="73">
        <v>38096.339999999997</v>
      </c>
      <c r="H38" s="62"/>
    </row>
    <row r="39" spans="1:8" s="3" customFormat="1">
      <c r="A39" s="82"/>
      <c r="B39" s="84" t="s">
        <v>20</v>
      </c>
      <c r="C39" s="54" t="s">
        <v>128</v>
      </c>
      <c r="D39" s="82"/>
      <c r="E39" s="22">
        <f t="shared" si="0"/>
        <v>240747.6</v>
      </c>
      <c r="F39" s="7"/>
      <c r="G39" s="73">
        <v>240747.6</v>
      </c>
      <c r="H39" s="62"/>
    </row>
    <row r="40" spans="1:8" s="3" customFormat="1">
      <c r="A40" s="82"/>
      <c r="B40" s="84"/>
      <c r="C40" s="54" t="s">
        <v>124</v>
      </c>
      <c r="D40" s="82"/>
      <c r="E40" s="22">
        <f t="shared" si="0"/>
        <v>327472.15000000002</v>
      </c>
      <c r="F40" s="7"/>
      <c r="G40" s="73">
        <v>327472.15000000002</v>
      </c>
      <c r="H40" s="62"/>
    </row>
    <row r="41" spans="1:8" s="3" customFormat="1">
      <c r="A41" s="82"/>
      <c r="B41" s="71" t="s">
        <v>21</v>
      </c>
      <c r="C41" s="54" t="s">
        <v>124</v>
      </c>
      <c r="D41" s="82"/>
      <c r="E41" s="22">
        <f t="shared" si="0"/>
        <v>72630</v>
      </c>
      <c r="F41" s="7"/>
      <c r="G41" s="73">
        <v>72630</v>
      </c>
      <c r="H41" s="62"/>
    </row>
    <row r="42" spans="1:8" s="3" customFormat="1">
      <c r="A42" s="82"/>
      <c r="B42" s="71" t="s">
        <v>22</v>
      </c>
      <c r="C42" s="54" t="s">
        <v>118</v>
      </c>
      <c r="D42" s="82"/>
      <c r="E42" s="22">
        <f t="shared" si="0"/>
        <v>425344</v>
      </c>
      <c r="F42" s="7"/>
      <c r="G42" s="73">
        <f>199000+226344</f>
        <v>425344</v>
      </c>
      <c r="H42" s="62"/>
    </row>
    <row r="43" spans="1:8" s="3" customFormat="1">
      <c r="A43" s="82"/>
      <c r="B43" s="84" t="s">
        <v>129</v>
      </c>
      <c r="C43" s="54" t="s">
        <v>118</v>
      </c>
      <c r="D43" s="82"/>
      <c r="E43" s="22">
        <f t="shared" si="0"/>
        <v>382024</v>
      </c>
      <c r="F43" s="7"/>
      <c r="G43" s="73">
        <f>156024+226000</f>
        <v>382024</v>
      </c>
      <c r="H43" s="62"/>
    </row>
    <row r="44" spans="1:8" s="3" customFormat="1">
      <c r="A44" s="82"/>
      <c r="B44" s="84"/>
      <c r="C44" s="54" t="s">
        <v>283</v>
      </c>
      <c r="D44" s="82"/>
      <c r="E44" s="22">
        <f t="shared" si="0"/>
        <v>157269.76000000001</v>
      </c>
      <c r="F44" s="7"/>
      <c r="G44" s="73">
        <v>157269.76000000001</v>
      </c>
      <c r="H44" s="62"/>
    </row>
    <row r="45" spans="1:8" s="3" customFormat="1" ht="25.5">
      <c r="A45" s="82"/>
      <c r="B45" s="84"/>
      <c r="C45" s="54" t="s">
        <v>130</v>
      </c>
      <c r="D45" s="82"/>
      <c r="E45" s="22">
        <f t="shared" si="0"/>
        <v>232900</v>
      </c>
      <c r="F45" s="7"/>
      <c r="G45" s="73">
        <v>232900</v>
      </c>
      <c r="H45" s="62"/>
    </row>
    <row r="46" spans="1:8" s="3" customFormat="1">
      <c r="A46" s="82"/>
      <c r="B46" s="84" t="s">
        <v>131</v>
      </c>
      <c r="C46" s="54" t="s">
        <v>114</v>
      </c>
      <c r="D46" s="82"/>
      <c r="E46" s="22">
        <f t="shared" si="0"/>
        <v>519942.36</v>
      </c>
      <c r="F46" s="7"/>
      <c r="G46" s="73">
        <f>600000-80057.64</f>
        <v>519942.36</v>
      </c>
      <c r="H46" s="62"/>
    </row>
    <row r="47" spans="1:8" s="3" customFormat="1">
      <c r="A47" s="82"/>
      <c r="B47" s="84"/>
      <c r="C47" s="54" t="s">
        <v>106</v>
      </c>
      <c r="D47" s="82"/>
      <c r="E47" s="22">
        <f t="shared" si="0"/>
        <v>706032.31</v>
      </c>
      <c r="F47" s="7"/>
      <c r="G47" s="73">
        <v>706032.31</v>
      </c>
      <c r="H47" s="62"/>
    </row>
    <row r="48" spans="1:8" s="3" customFormat="1">
      <c r="A48" s="82"/>
      <c r="B48" s="78"/>
      <c r="C48" s="54" t="s">
        <v>280</v>
      </c>
      <c r="D48" s="82"/>
      <c r="E48" s="69">
        <f t="shared" si="0"/>
        <v>18406.169999999998</v>
      </c>
      <c r="F48" s="7"/>
      <c r="G48" s="73">
        <v>18406.169999999998</v>
      </c>
      <c r="H48" s="62"/>
    </row>
    <row r="49" spans="1:8" s="3" customFormat="1">
      <c r="A49" s="82"/>
      <c r="B49" s="78"/>
      <c r="C49" s="54" t="s">
        <v>124</v>
      </c>
      <c r="D49" s="82"/>
      <c r="E49" s="22">
        <f t="shared" si="0"/>
        <v>291593.68</v>
      </c>
      <c r="F49" s="7"/>
      <c r="G49" s="73">
        <v>291593.68</v>
      </c>
      <c r="H49" s="62"/>
    </row>
    <row r="50" spans="1:8" s="3" customFormat="1" ht="25.5">
      <c r="A50" s="82"/>
      <c r="B50" s="84" t="s">
        <v>24</v>
      </c>
      <c r="C50" s="54" t="s">
        <v>132</v>
      </c>
      <c r="D50" s="82"/>
      <c r="E50" s="22">
        <f t="shared" si="0"/>
        <v>50000</v>
      </c>
      <c r="F50" s="7"/>
      <c r="G50" s="73">
        <v>50000</v>
      </c>
      <c r="H50" s="62"/>
    </row>
    <row r="51" spans="1:8" s="3" customFormat="1" ht="63.75">
      <c r="A51" s="82"/>
      <c r="B51" s="84"/>
      <c r="C51" s="54" t="s">
        <v>306</v>
      </c>
      <c r="D51" s="82"/>
      <c r="E51" s="22">
        <f t="shared" si="0"/>
        <v>275216.24</v>
      </c>
      <c r="F51" s="7"/>
      <c r="G51" s="73">
        <f>273246.24+1970</f>
        <v>275216.24</v>
      </c>
      <c r="H51" s="62"/>
    </row>
    <row r="52" spans="1:8" s="3" customFormat="1">
      <c r="A52" s="82"/>
      <c r="B52" s="84" t="s">
        <v>133</v>
      </c>
      <c r="C52" s="54" t="s">
        <v>134</v>
      </c>
      <c r="D52" s="82"/>
      <c r="E52" s="22">
        <f t="shared" si="0"/>
        <v>2702500</v>
      </c>
      <c r="F52" s="7"/>
      <c r="G52" s="73">
        <v>2702500</v>
      </c>
      <c r="H52" s="62"/>
    </row>
    <row r="53" spans="1:8" s="3" customFormat="1">
      <c r="A53" s="82"/>
      <c r="B53" s="84"/>
      <c r="C53" s="54" t="s">
        <v>135</v>
      </c>
      <c r="D53" s="82"/>
      <c r="E53" s="22">
        <f t="shared" si="0"/>
        <v>99900</v>
      </c>
      <c r="F53" s="7"/>
      <c r="G53" s="73">
        <v>99900</v>
      </c>
      <c r="H53" s="62"/>
    </row>
    <row r="54" spans="1:8" s="3" customFormat="1">
      <c r="A54" s="82"/>
      <c r="B54" s="84"/>
      <c r="C54" s="54" t="s">
        <v>124</v>
      </c>
      <c r="D54" s="82"/>
      <c r="E54" s="22">
        <f t="shared" si="0"/>
        <v>550000</v>
      </c>
      <c r="F54" s="7"/>
      <c r="G54" s="73">
        <f>275000*2</f>
        <v>550000</v>
      </c>
      <c r="H54" s="62"/>
    </row>
    <row r="55" spans="1:8" s="3" customFormat="1">
      <c r="A55" s="82"/>
      <c r="B55" s="84"/>
      <c r="C55" s="54" t="s">
        <v>136</v>
      </c>
      <c r="D55" s="82"/>
      <c r="E55" s="22">
        <f t="shared" si="0"/>
        <v>278780.27</v>
      </c>
      <c r="F55" s="7"/>
      <c r="G55" s="73">
        <f>98780.27+137000+43000</f>
        <v>278780.27</v>
      </c>
      <c r="H55" s="62"/>
    </row>
    <row r="56" spans="1:8" s="3" customFormat="1" ht="25.5">
      <c r="A56" s="82"/>
      <c r="B56" s="84" t="s">
        <v>137</v>
      </c>
      <c r="C56" s="54" t="s">
        <v>138</v>
      </c>
      <c r="D56" s="82"/>
      <c r="E56" s="22">
        <f t="shared" si="0"/>
        <v>28000</v>
      </c>
      <c r="F56" s="7"/>
      <c r="G56" s="73">
        <v>28000</v>
      </c>
      <c r="H56" s="62"/>
    </row>
    <row r="57" spans="1:8" s="3" customFormat="1" ht="38.25">
      <c r="A57" s="82"/>
      <c r="B57" s="84"/>
      <c r="C57" s="54" t="s">
        <v>139</v>
      </c>
      <c r="D57" s="82"/>
      <c r="E57" s="69">
        <f t="shared" si="0"/>
        <v>308000</v>
      </c>
      <c r="F57" s="7"/>
      <c r="G57" s="73">
        <v>308000</v>
      </c>
      <c r="H57" s="62"/>
    </row>
    <row r="58" spans="1:8" s="3" customFormat="1" ht="25.5">
      <c r="A58" s="82"/>
      <c r="B58" s="84"/>
      <c r="C58" s="54" t="s">
        <v>140</v>
      </c>
      <c r="D58" s="82"/>
      <c r="E58" s="69">
        <f t="shared" si="0"/>
        <v>817588.8</v>
      </c>
      <c r="F58" s="7"/>
      <c r="G58" s="73">
        <v>817588.8</v>
      </c>
      <c r="H58" s="62"/>
    </row>
    <row r="59" spans="1:8" s="3" customFormat="1">
      <c r="A59" s="82"/>
      <c r="B59" s="84" t="s">
        <v>141</v>
      </c>
      <c r="C59" s="54" t="s">
        <v>142</v>
      </c>
      <c r="D59" s="82"/>
      <c r="E59" s="69">
        <f t="shared" si="0"/>
        <v>119000</v>
      </c>
      <c r="F59" s="7"/>
      <c r="G59" s="73">
        <v>119000</v>
      </c>
      <c r="H59" s="62"/>
    </row>
    <row r="60" spans="1:8" s="3" customFormat="1">
      <c r="A60" s="82"/>
      <c r="B60" s="84"/>
      <c r="C60" s="54" t="s">
        <v>248</v>
      </c>
      <c r="D60" s="82"/>
      <c r="E60" s="69">
        <f t="shared" si="0"/>
        <v>321430.90000000002</v>
      </c>
      <c r="F60" s="7"/>
      <c r="G60" s="73">
        <f>213632+107798.9</f>
        <v>321430.90000000002</v>
      </c>
      <c r="H60" s="62"/>
    </row>
    <row r="61" spans="1:8" s="3" customFormat="1">
      <c r="A61" s="82"/>
      <c r="B61" s="78" t="s">
        <v>263</v>
      </c>
      <c r="C61" s="54" t="s">
        <v>124</v>
      </c>
      <c r="D61" s="82"/>
      <c r="E61" s="69">
        <f>G61</f>
        <v>559400</v>
      </c>
      <c r="F61" s="7"/>
      <c r="G61" s="73">
        <v>559400</v>
      </c>
      <c r="H61" s="62"/>
    </row>
    <row r="62" spans="1:8" s="3" customFormat="1">
      <c r="A62" s="82"/>
      <c r="B62" s="84" t="s">
        <v>143</v>
      </c>
      <c r="C62" s="54" t="s">
        <v>144</v>
      </c>
      <c r="D62" s="82"/>
      <c r="E62" s="69">
        <f t="shared" si="0"/>
        <v>90000</v>
      </c>
      <c r="F62" s="7"/>
      <c r="G62" s="73">
        <v>90000</v>
      </c>
      <c r="H62" s="62"/>
    </row>
    <row r="63" spans="1:8" s="3" customFormat="1">
      <c r="A63" s="82"/>
      <c r="B63" s="84"/>
      <c r="C63" s="54" t="s">
        <v>106</v>
      </c>
      <c r="D63" s="82"/>
      <c r="E63" s="69">
        <f t="shared" si="0"/>
        <v>90000</v>
      </c>
      <c r="F63" s="7"/>
      <c r="G63" s="73">
        <v>90000</v>
      </c>
      <c r="H63" s="62"/>
    </row>
    <row r="64" spans="1:8" s="3" customFormat="1">
      <c r="A64" s="82"/>
      <c r="B64" s="84"/>
      <c r="C64" s="54" t="s">
        <v>124</v>
      </c>
      <c r="D64" s="82"/>
      <c r="E64" s="69">
        <f t="shared" si="0"/>
        <v>392800</v>
      </c>
      <c r="F64" s="7"/>
      <c r="G64" s="73">
        <f>196400*2</f>
        <v>392800</v>
      </c>
      <c r="H64" s="62"/>
    </row>
    <row r="65" spans="1:8" s="3" customFormat="1">
      <c r="A65" s="82"/>
      <c r="B65" s="84"/>
      <c r="C65" s="54" t="s">
        <v>291</v>
      </c>
      <c r="D65" s="82"/>
      <c r="E65" s="69">
        <f t="shared" si="0"/>
        <v>404377.2</v>
      </c>
      <c r="F65" s="7"/>
      <c r="G65" s="73">
        <v>404377.2</v>
      </c>
      <c r="H65" s="62"/>
    </row>
    <row r="66" spans="1:8" s="3" customFormat="1">
      <c r="A66" s="82"/>
      <c r="B66" s="84"/>
      <c r="C66" s="54" t="s">
        <v>134</v>
      </c>
      <c r="D66" s="82"/>
      <c r="E66" s="69">
        <f t="shared" si="0"/>
        <v>250000</v>
      </c>
      <c r="F66" s="7"/>
      <c r="G66" s="73">
        <v>250000</v>
      </c>
      <c r="H66" s="62"/>
    </row>
    <row r="67" spans="1:8" s="3" customFormat="1">
      <c r="A67" s="82"/>
      <c r="B67" s="84" t="s">
        <v>145</v>
      </c>
      <c r="C67" s="54" t="s">
        <v>106</v>
      </c>
      <c r="D67" s="82"/>
      <c r="E67" s="22">
        <f t="shared" si="0"/>
        <v>420000</v>
      </c>
      <c r="F67" s="22"/>
      <c r="G67" s="73">
        <v>420000</v>
      </c>
      <c r="H67" s="62"/>
    </row>
    <row r="68" spans="1:8" s="3" customFormat="1">
      <c r="A68" s="82"/>
      <c r="B68" s="84"/>
      <c r="C68" s="54" t="s">
        <v>314</v>
      </c>
      <c r="D68" s="82"/>
      <c r="E68" s="22">
        <f t="shared" si="0"/>
        <v>137135.78</v>
      </c>
      <c r="F68" s="22"/>
      <c r="G68" s="73">
        <v>137135.78</v>
      </c>
      <c r="H68" s="62"/>
    </row>
    <row r="69" spans="1:8" s="3" customFormat="1">
      <c r="A69" s="82"/>
      <c r="B69" s="84"/>
      <c r="C69" s="54" t="str">
        <f>C64</f>
        <v>Монтаж узла учета тепловой энергии</v>
      </c>
      <c r="D69" s="82"/>
      <c r="E69" s="22">
        <v>689982</v>
      </c>
      <c r="F69" s="7"/>
      <c r="G69" s="73">
        <v>689982</v>
      </c>
      <c r="H69" s="62"/>
    </row>
    <row r="70" spans="1:8" s="3" customFormat="1">
      <c r="A70" s="82"/>
      <c r="B70" s="78" t="s">
        <v>315</v>
      </c>
      <c r="C70" s="54" t="s">
        <v>316</v>
      </c>
      <c r="D70" s="82"/>
      <c r="E70" s="22">
        <f>G70</f>
        <v>99995</v>
      </c>
      <c r="F70" s="7"/>
      <c r="G70" s="73">
        <v>99995</v>
      </c>
      <c r="H70" s="62"/>
    </row>
    <row r="71" spans="1:8" s="3" customFormat="1">
      <c r="A71" s="82"/>
      <c r="B71" s="84" t="s">
        <v>146</v>
      </c>
      <c r="C71" s="56" t="s">
        <v>147</v>
      </c>
      <c r="D71" s="82"/>
      <c r="E71" s="22">
        <f t="shared" si="0"/>
        <v>110247.81</v>
      </c>
      <c r="F71" s="7"/>
      <c r="G71" s="15">
        <v>110247.81</v>
      </c>
      <c r="H71" s="62"/>
    </row>
    <row r="72" spans="1:8" s="3" customFormat="1">
      <c r="A72" s="82"/>
      <c r="B72" s="84"/>
      <c r="C72" s="56" t="s">
        <v>148</v>
      </c>
      <c r="D72" s="82"/>
      <c r="E72" s="22">
        <v>1448000</v>
      </c>
      <c r="F72" s="7"/>
      <c r="G72" s="15">
        <v>1448000</v>
      </c>
      <c r="H72" s="62"/>
    </row>
    <row r="73" spans="1:8" s="3" customFormat="1">
      <c r="A73" s="82"/>
      <c r="B73" s="84"/>
      <c r="C73" s="56" t="s">
        <v>149</v>
      </c>
      <c r="D73" s="82"/>
      <c r="E73" s="22">
        <f t="shared" si="0"/>
        <v>72003.399999999994</v>
      </c>
      <c r="F73" s="7"/>
      <c r="G73" s="15">
        <v>72003.399999999994</v>
      </c>
      <c r="H73" s="62"/>
    </row>
    <row r="74" spans="1:8" s="3" customFormat="1" ht="25.5">
      <c r="A74" s="82"/>
      <c r="B74" s="84"/>
      <c r="C74" s="56" t="s">
        <v>243</v>
      </c>
      <c r="D74" s="82"/>
      <c r="E74" s="22">
        <f t="shared" si="0"/>
        <v>3104407.32</v>
      </c>
      <c r="F74" s="7"/>
      <c r="G74" s="15">
        <v>3104407.32</v>
      </c>
      <c r="H74" s="62"/>
    </row>
    <row r="75" spans="1:8" s="3" customFormat="1">
      <c r="A75" s="82"/>
      <c r="B75" s="84"/>
      <c r="C75" s="56" t="str">
        <f>C64</f>
        <v>Монтаж узла учета тепловой энергии</v>
      </c>
      <c r="D75" s="82"/>
      <c r="E75" s="22">
        <f t="shared" si="0"/>
        <v>338210.68</v>
      </c>
      <c r="F75" s="7"/>
      <c r="G75" s="15">
        <v>338210.68</v>
      </c>
      <c r="H75" s="62"/>
    </row>
    <row r="76" spans="1:8" s="3" customFormat="1">
      <c r="A76" s="82"/>
      <c r="B76" s="84"/>
      <c r="C76" s="56" t="s">
        <v>150</v>
      </c>
      <c r="D76" s="82"/>
      <c r="E76" s="22">
        <f t="shared" si="0"/>
        <v>338134.14</v>
      </c>
      <c r="F76" s="7"/>
      <c r="G76" s="15">
        <v>338134.14</v>
      </c>
      <c r="H76" s="62"/>
    </row>
    <row r="77" spans="1:8" s="3" customFormat="1">
      <c r="A77" s="82"/>
      <c r="B77" s="84" t="s">
        <v>151</v>
      </c>
      <c r="C77" s="54" t="s">
        <v>152</v>
      </c>
      <c r="D77" s="82"/>
      <c r="E77" s="22">
        <f t="shared" si="0"/>
        <v>62421.8</v>
      </c>
      <c r="F77" s="7"/>
      <c r="G77" s="73">
        <v>62421.8</v>
      </c>
      <c r="H77" s="62"/>
    </row>
    <row r="78" spans="1:8" s="3" customFormat="1">
      <c r="A78" s="82"/>
      <c r="B78" s="84"/>
      <c r="C78" s="54" t="s">
        <v>153</v>
      </c>
      <c r="D78" s="82"/>
      <c r="E78" s="22">
        <f t="shared" si="0"/>
        <v>99000</v>
      </c>
      <c r="F78" s="7"/>
      <c r="G78" s="73">
        <v>99000</v>
      </c>
      <c r="H78" s="62"/>
    </row>
    <row r="79" spans="1:8" s="3" customFormat="1">
      <c r="A79" s="82"/>
      <c r="B79" s="84"/>
      <c r="C79" s="59" t="s">
        <v>154</v>
      </c>
      <c r="D79" s="82"/>
      <c r="E79" s="22">
        <f t="shared" si="0"/>
        <v>136057</v>
      </c>
      <c r="F79" s="7"/>
      <c r="G79" s="73">
        <v>136057</v>
      </c>
      <c r="H79" s="62"/>
    </row>
    <row r="80" spans="1:8" s="3" customFormat="1">
      <c r="A80" s="82"/>
      <c r="B80" s="84"/>
      <c r="C80" s="59" t="s">
        <v>155</v>
      </c>
      <c r="D80" s="82"/>
      <c r="E80" s="22">
        <f t="shared" si="0"/>
        <v>1141036.52</v>
      </c>
      <c r="F80" s="7"/>
      <c r="G80" s="15">
        <v>1141036.52</v>
      </c>
      <c r="H80" s="62"/>
    </row>
    <row r="81" spans="1:8" s="3" customFormat="1">
      <c r="A81" s="82"/>
      <c r="B81" s="78" t="s">
        <v>261</v>
      </c>
      <c r="C81" s="59" t="s">
        <v>124</v>
      </c>
      <c r="D81" s="82"/>
      <c r="E81" s="22">
        <f t="shared" si="0"/>
        <v>376900</v>
      </c>
      <c r="F81" s="7"/>
      <c r="G81" s="15">
        <v>376900</v>
      </c>
      <c r="H81" s="62"/>
    </row>
    <row r="82" spans="1:8" s="3" customFormat="1">
      <c r="A82" s="82"/>
      <c r="B82" s="84" t="s">
        <v>156</v>
      </c>
      <c r="C82" s="54" t="s">
        <v>157</v>
      </c>
      <c r="D82" s="82"/>
      <c r="E82" s="22">
        <f t="shared" si="0"/>
        <v>100000</v>
      </c>
      <c r="F82" s="7"/>
      <c r="G82" s="73">
        <v>100000</v>
      </c>
      <c r="H82" s="62"/>
    </row>
    <row r="83" spans="1:8" s="3" customFormat="1" ht="25.5">
      <c r="A83" s="82"/>
      <c r="B83" s="84"/>
      <c r="C83" s="54" t="s">
        <v>292</v>
      </c>
      <c r="D83" s="82"/>
      <c r="E83" s="22">
        <f t="shared" si="0"/>
        <v>233351.37</v>
      </c>
      <c r="F83" s="7"/>
      <c r="G83" s="73">
        <v>233351.37</v>
      </c>
      <c r="H83" s="62"/>
    </row>
    <row r="84" spans="1:8" s="3" customFormat="1">
      <c r="A84" s="82"/>
      <c r="B84" s="84" t="s">
        <v>158</v>
      </c>
      <c r="C84" s="54" t="s">
        <v>118</v>
      </c>
      <c r="D84" s="82"/>
      <c r="E84" s="22">
        <f t="shared" si="0"/>
        <v>74200</v>
      </c>
      <c r="F84" s="7"/>
      <c r="G84" s="73">
        <v>74200</v>
      </c>
      <c r="H84" s="62"/>
    </row>
    <row r="85" spans="1:8" s="3" customFormat="1">
      <c r="A85" s="82"/>
      <c r="B85" s="84"/>
      <c r="C85" s="54" t="s">
        <v>126</v>
      </c>
      <c r="D85" s="82"/>
      <c r="E85" s="22">
        <f t="shared" si="0"/>
        <v>605778.97</v>
      </c>
      <c r="F85" s="7"/>
      <c r="G85" s="73">
        <v>605778.97</v>
      </c>
      <c r="H85" s="62"/>
    </row>
    <row r="86" spans="1:8" s="3" customFormat="1">
      <c r="A86" s="82"/>
      <c r="B86" s="84"/>
      <c r="C86" s="54" t="s">
        <v>124</v>
      </c>
      <c r="D86" s="82"/>
      <c r="E86" s="22">
        <f t="shared" si="0"/>
        <v>275000</v>
      </c>
      <c r="F86" s="7"/>
      <c r="G86" s="73">
        <v>275000</v>
      </c>
      <c r="H86" s="62"/>
    </row>
    <row r="87" spans="1:8" s="3" customFormat="1">
      <c r="A87" s="82"/>
      <c r="B87" s="78" t="s">
        <v>159</v>
      </c>
      <c r="C87" s="54" t="s">
        <v>160</v>
      </c>
      <c r="D87" s="82"/>
      <c r="E87" s="22">
        <f t="shared" si="0"/>
        <v>1524987.36</v>
      </c>
      <c r="F87" s="7"/>
      <c r="G87" s="15">
        <f>1347470.05+177517.31</f>
        <v>1524987.36</v>
      </c>
      <c r="H87" s="62"/>
    </row>
    <row r="88" spans="1:8" s="3" customFormat="1">
      <c r="A88" s="82"/>
      <c r="B88" s="78" t="s">
        <v>161</v>
      </c>
      <c r="C88" s="54" t="s">
        <v>118</v>
      </c>
      <c r="D88" s="82"/>
      <c r="E88" s="22">
        <f t="shared" si="0"/>
        <v>99625.29</v>
      </c>
      <c r="F88" s="7"/>
      <c r="G88" s="73">
        <v>99625.29</v>
      </c>
      <c r="H88" s="62"/>
    </row>
    <row r="89" spans="1:8" s="3" customFormat="1">
      <c r="A89" s="82"/>
      <c r="B89" s="84" t="s">
        <v>162</v>
      </c>
      <c r="C89" s="54" t="s">
        <v>163</v>
      </c>
      <c r="D89" s="82"/>
      <c r="E89" s="22">
        <f t="shared" si="0"/>
        <v>166083.71</v>
      </c>
      <c r="F89" s="7"/>
      <c r="G89" s="73">
        <v>166083.71</v>
      </c>
      <c r="H89" s="62"/>
    </row>
    <row r="90" spans="1:8" s="3" customFormat="1" ht="27" customHeight="1">
      <c r="A90" s="82"/>
      <c r="B90" s="84"/>
      <c r="C90" s="54" t="s">
        <v>164</v>
      </c>
      <c r="D90" s="82"/>
      <c r="E90" s="22">
        <f t="shared" si="0"/>
        <v>302861.65999999997</v>
      </c>
      <c r="F90" s="7"/>
      <c r="G90" s="73">
        <v>302861.65999999997</v>
      </c>
      <c r="H90" s="62"/>
    </row>
    <row r="91" spans="1:8" s="3" customFormat="1" ht="18.75" customHeight="1">
      <c r="A91" s="82"/>
      <c r="B91" s="84"/>
      <c r="C91" s="54" t="s">
        <v>124</v>
      </c>
      <c r="D91" s="82"/>
      <c r="E91" s="22">
        <f t="shared" si="0"/>
        <v>336206</v>
      </c>
      <c r="F91" s="7"/>
      <c r="G91" s="73">
        <v>336206</v>
      </c>
      <c r="H91" s="62"/>
    </row>
    <row r="92" spans="1:8">
      <c r="A92" s="82"/>
      <c r="B92" s="84"/>
      <c r="C92" s="56" t="s">
        <v>165</v>
      </c>
      <c r="D92" s="82"/>
      <c r="E92" s="22">
        <f t="shared" si="0"/>
        <v>478770</v>
      </c>
      <c r="F92" s="7"/>
      <c r="G92" s="15">
        <f>447201.6+31568.4</f>
        <v>478770</v>
      </c>
    </row>
    <row r="93" spans="1:8">
      <c r="A93" s="82"/>
      <c r="B93" s="78" t="s">
        <v>166</v>
      </c>
      <c r="C93" s="56" t="s">
        <v>118</v>
      </c>
      <c r="D93" s="82"/>
      <c r="E93" s="22">
        <f t="shared" si="0"/>
        <v>165000</v>
      </c>
      <c r="F93" s="7"/>
      <c r="G93" s="15">
        <v>165000</v>
      </c>
    </row>
    <row r="94" spans="1:8">
      <c r="A94" s="82"/>
      <c r="B94" s="78" t="s">
        <v>167</v>
      </c>
      <c r="C94" s="56" t="s">
        <v>262</v>
      </c>
      <c r="D94" s="82"/>
      <c r="E94" s="22">
        <f t="shared" si="0"/>
        <v>204281.11</v>
      </c>
      <c r="F94" s="7"/>
      <c r="G94" s="15">
        <v>204281.11</v>
      </c>
    </row>
    <row r="95" spans="1:8">
      <c r="A95" s="82"/>
      <c r="B95" s="84" t="s">
        <v>168</v>
      </c>
      <c r="C95" s="54" t="s">
        <v>149</v>
      </c>
      <c r="D95" s="82"/>
      <c r="E95" s="22">
        <f t="shared" si="0"/>
        <v>383434.22</v>
      </c>
      <c r="F95" s="7"/>
      <c r="G95" s="73">
        <f>309900+73534.22</f>
        <v>383434.22</v>
      </c>
    </row>
    <row r="96" spans="1:8">
      <c r="A96" s="82"/>
      <c r="B96" s="84"/>
      <c r="C96" s="54" t="s">
        <v>106</v>
      </c>
      <c r="D96" s="82"/>
      <c r="E96" s="22">
        <f t="shared" si="0"/>
        <v>116400</v>
      </c>
      <c r="F96" s="7"/>
      <c r="G96" s="73">
        <v>116400</v>
      </c>
    </row>
    <row r="97" spans="1:9">
      <c r="A97" s="82"/>
      <c r="B97" s="78" t="s">
        <v>169</v>
      </c>
      <c r="C97" s="54" t="s">
        <v>118</v>
      </c>
      <c r="D97" s="82"/>
      <c r="E97" s="22">
        <f t="shared" si="0"/>
        <v>150000</v>
      </c>
      <c r="F97" s="7"/>
      <c r="G97" s="73">
        <v>150000</v>
      </c>
    </row>
    <row r="98" spans="1:9">
      <c r="A98" s="82"/>
      <c r="B98" s="84" t="s">
        <v>170</v>
      </c>
      <c r="C98" s="54" t="s">
        <v>171</v>
      </c>
      <c r="D98" s="82"/>
      <c r="E98" s="22">
        <f t="shared" si="0"/>
        <v>379720.81</v>
      </c>
      <c r="F98" s="7"/>
      <c r="G98" s="73">
        <v>379720.81</v>
      </c>
    </row>
    <row r="99" spans="1:9">
      <c r="A99" s="82"/>
      <c r="B99" s="84"/>
      <c r="C99" s="56" t="s">
        <v>172</v>
      </c>
      <c r="D99" s="82"/>
      <c r="E99" s="22">
        <f t="shared" si="0"/>
        <v>63979.03</v>
      </c>
      <c r="F99" s="7"/>
      <c r="G99" s="15">
        <v>63979.03</v>
      </c>
    </row>
    <row r="100" spans="1:9" ht="15">
      <c r="A100" s="82"/>
      <c r="B100" s="84"/>
      <c r="C100" s="56" t="s">
        <v>286</v>
      </c>
      <c r="D100" s="82"/>
      <c r="E100" s="22">
        <f>F100+G100</f>
        <v>975806.58</v>
      </c>
      <c r="F100" s="7"/>
      <c r="G100" s="14">
        <v>975806.58</v>
      </c>
    </row>
    <row r="101" spans="1:9" ht="15">
      <c r="A101" s="82"/>
      <c r="B101" s="78" t="s">
        <v>244</v>
      </c>
      <c r="C101" s="56" t="str">
        <f>C86</f>
        <v>Монтаж узла учета тепловой энергии</v>
      </c>
      <c r="D101" s="82"/>
      <c r="E101" s="22">
        <f>F101+G101</f>
        <v>314500</v>
      </c>
      <c r="F101" s="7"/>
      <c r="G101" s="14">
        <v>314500</v>
      </c>
    </row>
    <row r="102" spans="1:9" ht="25.5">
      <c r="A102" s="82"/>
      <c r="B102" s="90" t="s">
        <v>173</v>
      </c>
      <c r="C102" s="56" t="s">
        <v>307</v>
      </c>
      <c r="D102" s="82"/>
      <c r="E102" s="22">
        <f>F102+G102</f>
        <v>130673.35</v>
      </c>
      <c r="F102" s="7"/>
      <c r="G102" s="14">
        <v>130673.35</v>
      </c>
    </row>
    <row r="103" spans="1:9" ht="15">
      <c r="A103" s="82"/>
      <c r="B103" s="90"/>
      <c r="C103" s="56" t="s">
        <v>118</v>
      </c>
      <c r="D103" s="82"/>
      <c r="E103" s="22">
        <f>F103+G103</f>
        <v>73000</v>
      </c>
      <c r="F103" s="7"/>
      <c r="G103" s="14">
        <v>73000</v>
      </c>
    </row>
    <row r="104" spans="1:9">
      <c r="A104" s="82"/>
      <c r="B104" s="90"/>
      <c r="C104" s="56" t="s">
        <v>160</v>
      </c>
      <c r="D104" s="82"/>
      <c r="E104" s="22">
        <f>F104+G104</f>
        <v>852407.1</v>
      </c>
      <c r="F104" s="7"/>
      <c r="G104" s="15">
        <f>835372.1+17035</f>
        <v>852407.1</v>
      </c>
    </row>
    <row r="105" spans="1:9">
      <c r="A105" s="82"/>
      <c r="B105" s="83" t="s">
        <v>95</v>
      </c>
      <c r="C105" s="83"/>
      <c r="D105" s="77"/>
      <c r="E105" s="73">
        <f>SUM(E11:E104)</f>
        <v>40371472.999999993</v>
      </c>
      <c r="F105" s="17">
        <f>SUM(F11:F104)</f>
        <v>0</v>
      </c>
      <c r="G105" s="17">
        <f>SUM(G11:G104)</f>
        <v>40371472.999999993</v>
      </c>
    </row>
    <row r="106" spans="1:9">
      <c r="A106" s="82"/>
      <c r="B106" s="87" t="s">
        <v>174</v>
      </c>
      <c r="C106" s="87"/>
      <c r="D106" s="87"/>
      <c r="E106" s="73">
        <f>G106</f>
        <v>2300718.83</v>
      </c>
      <c r="F106" s="17">
        <f>F50+F11</f>
        <v>0</v>
      </c>
      <c r="G106" s="17">
        <f>G50+G11+G99+G34</f>
        <v>2300718.83</v>
      </c>
      <c r="I106" s="60"/>
    </row>
    <row r="107" spans="1:9" ht="32.450000000000003" customHeight="1">
      <c r="A107" s="82" t="s">
        <v>253</v>
      </c>
      <c r="B107" s="83" t="s">
        <v>49</v>
      </c>
      <c r="C107" s="54" t="s">
        <v>175</v>
      </c>
      <c r="D107" s="82" t="s">
        <v>101</v>
      </c>
      <c r="E107" s="73">
        <f t="shared" ref="E107:E194" si="1">F107+G107</f>
        <v>384000</v>
      </c>
      <c r="F107" s="18"/>
      <c r="G107" s="73">
        <v>384000</v>
      </c>
      <c r="I107" s="60"/>
    </row>
    <row r="108" spans="1:9" s="3" customFormat="1" ht="38.25">
      <c r="A108" s="82"/>
      <c r="B108" s="83"/>
      <c r="C108" s="54" t="s">
        <v>176</v>
      </c>
      <c r="D108" s="82"/>
      <c r="E108" s="73">
        <f t="shared" si="1"/>
        <v>200000</v>
      </c>
      <c r="F108" s="18"/>
      <c r="G108" s="73">
        <v>200000</v>
      </c>
      <c r="H108" s="62"/>
    </row>
    <row r="109" spans="1:9" s="3" customFormat="1" ht="13.5">
      <c r="A109" s="82"/>
      <c r="B109" s="83"/>
      <c r="C109" s="54" t="s">
        <v>290</v>
      </c>
      <c r="D109" s="82"/>
      <c r="E109" s="73">
        <f t="shared" si="1"/>
        <v>30303</v>
      </c>
      <c r="F109" s="18"/>
      <c r="G109" s="73">
        <v>30303</v>
      </c>
      <c r="H109" s="62"/>
    </row>
    <row r="110" spans="1:9" s="3" customFormat="1" ht="51">
      <c r="A110" s="82"/>
      <c r="B110" s="83"/>
      <c r="C110" s="54" t="str">
        <f>C151</f>
        <v>Разработка проектной документации, сметной документации, услуги технического надзора, разработка сметной документации</v>
      </c>
      <c r="D110" s="82"/>
      <c r="E110" s="73">
        <f t="shared" si="1"/>
        <v>153476</v>
      </c>
      <c r="F110" s="18"/>
      <c r="G110" s="73">
        <f>16076+137400</f>
        <v>153476</v>
      </c>
      <c r="H110" s="62"/>
    </row>
    <row r="111" spans="1:9" s="3" customFormat="1" ht="13.5">
      <c r="A111" s="82"/>
      <c r="B111" s="83" t="s">
        <v>50</v>
      </c>
      <c r="C111" s="54" t="s">
        <v>147</v>
      </c>
      <c r="D111" s="82"/>
      <c r="E111" s="73">
        <f t="shared" si="1"/>
        <v>418100</v>
      </c>
      <c r="F111" s="18"/>
      <c r="G111" s="73">
        <v>418100</v>
      </c>
      <c r="H111" s="62"/>
    </row>
    <row r="112" spans="1:9" s="3" customFormat="1" ht="25.5" customHeight="1">
      <c r="A112" s="82"/>
      <c r="B112" s="83"/>
      <c r="C112" s="54" t="s">
        <v>177</v>
      </c>
      <c r="D112" s="82"/>
      <c r="E112" s="73">
        <f t="shared" si="1"/>
        <v>533200</v>
      </c>
      <c r="F112" s="18"/>
      <c r="G112" s="73">
        <f>309100+224100</f>
        <v>533200</v>
      </c>
      <c r="H112" s="62"/>
    </row>
    <row r="113" spans="1:8" s="3" customFormat="1" ht="13.5">
      <c r="A113" s="82"/>
      <c r="B113" s="83"/>
      <c r="C113" s="54" t="s">
        <v>106</v>
      </c>
      <c r="D113" s="82"/>
      <c r="E113" s="73">
        <f t="shared" si="1"/>
        <v>198000</v>
      </c>
      <c r="F113" s="18"/>
      <c r="G113" s="73">
        <v>198000</v>
      </c>
      <c r="H113" s="62"/>
    </row>
    <row r="114" spans="1:8" s="3" customFormat="1" ht="25.5">
      <c r="A114" s="82"/>
      <c r="B114" s="83"/>
      <c r="C114" s="54" t="s">
        <v>178</v>
      </c>
      <c r="D114" s="82"/>
      <c r="E114" s="73">
        <f t="shared" si="1"/>
        <v>194000</v>
      </c>
      <c r="F114" s="18"/>
      <c r="G114" s="73">
        <v>194000</v>
      </c>
      <c r="H114" s="62"/>
    </row>
    <row r="115" spans="1:8" s="3" customFormat="1" ht="13.5">
      <c r="A115" s="82"/>
      <c r="B115" s="83"/>
      <c r="C115" s="54" t="s">
        <v>284</v>
      </c>
      <c r="D115" s="82"/>
      <c r="E115" s="73">
        <f t="shared" si="1"/>
        <v>25381</v>
      </c>
      <c r="F115" s="18"/>
      <c r="G115" s="73">
        <v>25381</v>
      </c>
      <c r="H115" s="62"/>
    </row>
    <row r="116" spans="1:8" s="3" customFormat="1" ht="38.25">
      <c r="A116" s="82"/>
      <c r="B116" s="83"/>
      <c r="C116" s="54" t="s">
        <v>179</v>
      </c>
      <c r="D116" s="82"/>
      <c r="E116" s="73">
        <f t="shared" si="1"/>
        <v>124619</v>
      </c>
      <c r="F116" s="18"/>
      <c r="G116" s="73">
        <f>150000-25381</f>
        <v>124619</v>
      </c>
      <c r="H116" s="62"/>
    </row>
    <row r="117" spans="1:8" s="3" customFormat="1" ht="25.5">
      <c r="A117" s="82"/>
      <c r="B117" s="83" t="s">
        <v>52</v>
      </c>
      <c r="C117" s="54" t="s">
        <v>180</v>
      </c>
      <c r="D117" s="82"/>
      <c r="E117" s="73">
        <f t="shared" si="1"/>
        <v>148000</v>
      </c>
      <c r="F117" s="18"/>
      <c r="G117" s="73">
        <v>148000</v>
      </c>
      <c r="H117" s="62"/>
    </row>
    <row r="118" spans="1:8" s="3" customFormat="1" ht="38.25">
      <c r="A118" s="82"/>
      <c r="B118" s="83"/>
      <c r="C118" s="54" t="str">
        <f>C108</f>
        <v>Ремонт комнаты детских инициатив, в том числе приобретение строительных материалов</v>
      </c>
      <c r="D118" s="82"/>
      <c r="E118" s="73">
        <f t="shared" si="1"/>
        <v>100000</v>
      </c>
      <c r="F118" s="18"/>
      <c r="G118" s="73">
        <v>100000</v>
      </c>
      <c r="H118" s="62"/>
    </row>
    <row r="119" spans="1:8" s="3" customFormat="1" ht="13.5">
      <c r="A119" s="82"/>
      <c r="B119" s="83"/>
      <c r="C119" s="54" t="s">
        <v>260</v>
      </c>
      <c r="D119" s="82"/>
      <c r="E119" s="73">
        <f t="shared" si="1"/>
        <v>242200</v>
      </c>
      <c r="F119" s="18"/>
      <c r="G119" s="73">
        <v>242200</v>
      </c>
      <c r="H119" s="62"/>
    </row>
    <row r="120" spans="1:8" s="3" customFormat="1" ht="13.5">
      <c r="A120" s="82"/>
      <c r="B120" s="83"/>
      <c r="C120" s="54" t="s">
        <v>181</v>
      </c>
      <c r="D120" s="82"/>
      <c r="E120" s="73">
        <f t="shared" si="1"/>
        <v>155600.19</v>
      </c>
      <c r="F120" s="18"/>
      <c r="G120" s="73">
        <v>155600.19</v>
      </c>
      <c r="H120" s="62"/>
    </row>
    <row r="121" spans="1:8" s="3" customFormat="1">
      <c r="A121" s="82"/>
      <c r="B121" s="84" t="s">
        <v>182</v>
      </c>
      <c r="C121" s="54" t="s">
        <v>183</v>
      </c>
      <c r="D121" s="82"/>
      <c r="E121" s="73">
        <f t="shared" si="1"/>
        <v>907742.56</v>
      </c>
      <c r="F121" s="17">
        <v>0</v>
      </c>
      <c r="G121" s="73">
        <f>775000+132742.56</f>
        <v>907742.56</v>
      </c>
      <c r="H121" s="62"/>
    </row>
    <row r="122" spans="1:8" s="3" customFormat="1" ht="51">
      <c r="A122" s="82"/>
      <c r="B122" s="84"/>
      <c r="C122" s="54" t="str">
        <f>C132</f>
        <v>Разработка проектной документации, сметной документации, услуги технического надзора, разработка сметной документации</v>
      </c>
      <c r="D122" s="82"/>
      <c r="E122" s="73">
        <f t="shared" si="1"/>
        <v>31179.8</v>
      </c>
      <c r="F122" s="17"/>
      <c r="G122" s="73">
        <v>31179.8</v>
      </c>
      <c r="H122" s="62"/>
    </row>
    <row r="123" spans="1:8" s="3" customFormat="1">
      <c r="A123" s="82"/>
      <c r="B123" s="84"/>
      <c r="C123" s="54" t="s">
        <v>184</v>
      </c>
      <c r="D123" s="82"/>
      <c r="E123" s="73">
        <f t="shared" si="1"/>
        <v>354912.55</v>
      </c>
      <c r="F123" s="17"/>
      <c r="G123" s="73">
        <v>354912.55</v>
      </c>
      <c r="H123" s="62"/>
    </row>
    <row r="124" spans="1:8" s="3" customFormat="1" ht="38.25">
      <c r="A124" s="82"/>
      <c r="B124" s="84"/>
      <c r="C124" s="54" t="str">
        <f>C116</f>
        <v>Ремонт кабинетов ОГЭ и комнаты детских инициатив, в том числе приобретение строительных материалов</v>
      </c>
      <c r="D124" s="82"/>
      <c r="E124" s="73">
        <f t="shared" si="1"/>
        <v>250000</v>
      </c>
      <c r="F124" s="17"/>
      <c r="G124" s="73">
        <v>250000</v>
      </c>
      <c r="H124" s="62"/>
    </row>
    <row r="125" spans="1:8" s="3" customFormat="1">
      <c r="A125" s="82"/>
      <c r="B125" s="84"/>
      <c r="C125" s="54" t="s">
        <v>185</v>
      </c>
      <c r="D125" s="82"/>
      <c r="E125" s="73">
        <f t="shared" si="1"/>
        <v>476630</v>
      </c>
      <c r="F125" s="17"/>
      <c r="G125" s="73">
        <f>300700+175930</f>
        <v>476630</v>
      </c>
      <c r="H125" s="62"/>
    </row>
    <row r="126" spans="1:8" s="3" customFormat="1">
      <c r="A126" s="82"/>
      <c r="B126" s="84"/>
      <c r="C126" s="54" t="s">
        <v>186</v>
      </c>
      <c r="D126" s="82"/>
      <c r="E126" s="73">
        <f t="shared" si="1"/>
        <v>85621</v>
      </c>
      <c r="F126" s="17"/>
      <c r="G126" s="73">
        <v>85621</v>
      </c>
      <c r="H126" s="62"/>
    </row>
    <row r="127" spans="1:8" s="3" customFormat="1">
      <c r="A127" s="82"/>
      <c r="B127" s="84"/>
      <c r="C127" s="54" t="s">
        <v>118</v>
      </c>
      <c r="D127" s="82"/>
      <c r="E127" s="73">
        <f t="shared" si="1"/>
        <v>3168000</v>
      </c>
      <c r="F127" s="17"/>
      <c r="G127" s="73">
        <v>3168000</v>
      </c>
      <c r="H127" s="62"/>
    </row>
    <row r="128" spans="1:8" s="3" customFormat="1">
      <c r="A128" s="82"/>
      <c r="B128" s="84"/>
      <c r="C128" s="54" t="s">
        <v>187</v>
      </c>
      <c r="D128" s="82"/>
      <c r="E128" s="73">
        <f t="shared" si="1"/>
        <v>682000</v>
      </c>
      <c r="F128" s="17">
        <v>0</v>
      </c>
      <c r="G128" s="73">
        <v>682000</v>
      </c>
      <c r="H128" s="62"/>
    </row>
    <row r="129" spans="1:8" s="3" customFormat="1" ht="25.5">
      <c r="A129" s="82"/>
      <c r="B129" s="83" t="s">
        <v>188</v>
      </c>
      <c r="C129" s="54" t="s">
        <v>189</v>
      </c>
      <c r="D129" s="82"/>
      <c r="E129" s="73">
        <f t="shared" si="1"/>
        <v>886580.26</v>
      </c>
      <c r="F129" s="17"/>
      <c r="G129" s="73">
        <v>886580.26</v>
      </c>
      <c r="H129" s="62"/>
    </row>
    <row r="130" spans="1:8" s="3" customFormat="1">
      <c r="A130" s="82"/>
      <c r="B130" s="83"/>
      <c r="C130" s="54" t="s">
        <v>190</v>
      </c>
      <c r="D130" s="82"/>
      <c r="E130" s="73">
        <f t="shared" si="1"/>
        <v>750000</v>
      </c>
      <c r="F130" s="17"/>
      <c r="G130" s="73">
        <f>450000+300000</f>
        <v>750000</v>
      </c>
      <c r="H130" s="62"/>
    </row>
    <row r="131" spans="1:8" s="3" customFormat="1" ht="55.9" customHeight="1">
      <c r="A131" s="82"/>
      <c r="B131" s="83"/>
      <c r="C131" s="54" t="str">
        <f>C124</f>
        <v>Ремонт кабинетов ОГЭ и комнаты детских инициатив, в том числе приобретение строительных материалов</v>
      </c>
      <c r="D131" s="82"/>
      <c r="E131" s="73">
        <f t="shared" si="1"/>
        <v>250000</v>
      </c>
      <c r="F131" s="17"/>
      <c r="G131" s="73">
        <v>250000</v>
      </c>
      <c r="H131" s="62"/>
    </row>
    <row r="132" spans="1:8" s="3" customFormat="1" ht="51">
      <c r="A132" s="82"/>
      <c r="B132" s="83"/>
      <c r="C132" s="54" t="str">
        <f>C110</f>
        <v>Разработка проектной документации, сметной документации, услуги технического надзора, разработка сметной документации</v>
      </c>
      <c r="D132" s="82"/>
      <c r="E132" s="73">
        <f t="shared" si="1"/>
        <v>38112</v>
      </c>
      <c r="F132" s="17"/>
      <c r="G132" s="73">
        <v>38112</v>
      </c>
      <c r="H132" s="62"/>
    </row>
    <row r="133" spans="1:8" s="3" customFormat="1">
      <c r="A133" s="82"/>
      <c r="B133" s="83" t="s">
        <v>191</v>
      </c>
      <c r="C133" s="55" t="s">
        <v>187</v>
      </c>
      <c r="D133" s="82"/>
      <c r="E133" s="73">
        <f t="shared" si="1"/>
        <v>724617.96</v>
      </c>
      <c r="F133" s="7">
        <v>0</v>
      </c>
      <c r="G133" s="17">
        <v>724617.96</v>
      </c>
      <c r="H133" s="62"/>
    </row>
    <row r="134" spans="1:8" s="3" customFormat="1" ht="38.25">
      <c r="A134" s="82"/>
      <c r="B134" s="83"/>
      <c r="C134" s="55" t="str">
        <f>C118</f>
        <v>Ремонт комнаты детских инициатив, в том числе приобретение строительных материалов</v>
      </c>
      <c r="D134" s="82"/>
      <c r="E134" s="73">
        <f t="shared" si="1"/>
        <v>100000</v>
      </c>
      <c r="F134" s="7"/>
      <c r="G134" s="17">
        <v>100000</v>
      </c>
      <c r="H134" s="62"/>
    </row>
    <row r="135" spans="1:8" s="3" customFormat="1" ht="25.5">
      <c r="A135" s="82"/>
      <c r="B135" s="83"/>
      <c r="C135" s="55" t="s">
        <v>259</v>
      </c>
      <c r="D135" s="82"/>
      <c r="E135" s="73">
        <f t="shared" si="1"/>
        <v>32000</v>
      </c>
      <c r="F135" s="7"/>
      <c r="G135" s="17">
        <v>32000</v>
      </c>
      <c r="H135" s="62"/>
    </row>
    <row r="136" spans="1:8" s="3" customFormat="1" ht="25.5">
      <c r="A136" s="82"/>
      <c r="B136" s="83"/>
      <c r="C136" s="55" t="s">
        <v>192</v>
      </c>
      <c r="D136" s="82"/>
      <c r="E136" s="73">
        <f t="shared" si="1"/>
        <v>200000</v>
      </c>
      <c r="F136" s="7"/>
      <c r="G136" s="17">
        <v>200000</v>
      </c>
      <c r="H136" s="62"/>
    </row>
    <row r="137" spans="1:8" s="3" customFormat="1" ht="25.5">
      <c r="A137" s="82"/>
      <c r="B137" s="83"/>
      <c r="C137" s="55" t="s">
        <v>293</v>
      </c>
      <c r="D137" s="82"/>
      <c r="E137" s="73">
        <f t="shared" si="1"/>
        <v>53563.48</v>
      </c>
      <c r="F137" s="7"/>
      <c r="G137" s="17">
        <v>53563.48</v>
      </c>
      <c r="H137" s="62"/>
    </row>
    <row r="138" spans="1:8" s="3" customFormat="1" ht="38.25">
      <c r="A138" s="82"/>
      <c r="B138" s="83"/>
      <c r="C138" s="55" t="s">
        <v>193</v>
      </c>
      <c r="D138" s="82"/>
      <c r="E138" s="73">
        <f t="shared" si="1"/>
        <v>55000</v>
      </c>
      <c r="F138" s="7"/>
      <c r="G138" s="17">
        <v>55000</v>
      </c>
      <c r="H138" s="62"/>
    </row>
    <row r="139" spans="1:8" s="3" customFormat="1">
      <c r="A139" s="82"/>
      <c r="B139" s="83" t="s">
        <v>194</v>
      </c>
      <c r="C139" s="55" t="s">
        <v>195</v>
      </c>
      <c r="D139" s="82"/>
      <c r="E139" s="73">
        <f t="shared" si="1"/>
        <v>82996.13</v>
      </c>
      <c r="F139" s="7"/>
      <c r="G139" s="17">
        <v>82996.13</v>
      </c>
      <c r="H139" s="62"/>
    </row>
    <row r="140" spans="1:8" s="3" customFormat="1" ht="38.25">
      <c r="A140" s="82"/>
      <c r="B140" s="83"/>
      <c r="C140" s="55" t="str">
        <f>C134</f>
        <v>Ремонт комнаты детских инициатив, в том числе приобретение строительных материалов</v>
      </c>
      <c r="D140" s="82"/>
      <c r="E140" s="73">
        <f t="shared" si="1"/>
        <v>3500</v>
      </c>
      <c r="F140" s="7"/>
      <c r="G140" s="17">
        <f>100000-96500</f>
        <v>3500</v>
      </c>
      <c r="H140" s="62"/>
    </row>
    <row r="141" spans="1:8" s="3" customFormat="1" ht="42.6" customHeight="1">
      <c r="A141" s="82"/>
      <c r="B141" s="83"/>
      <c r="C141" s="55" t="s">
        <v>192</v>
      </c>
      <c r="D141" s="82"/>
      <c r="E141" s="73">
        <f t="shared" si="1"/>
        <v>200000</v>
      </c>
      <c r="F141" s="7"/>
      <c r="G141" s="17">
        <v>200000</v>
      </c>
      <c r="H141" s="62"/>
    </row>
    <row r="142" spans="1:8" s="3" customFormat="1" ht="51">
      <c r="A142" s="82"/>
      <c r="B142" s="83" t="s">
        <v>196</v>
      </c>
      <c r="C142" s="55" t="s">
        <v>197</v>
      </c>
      <c r="D142" s="75" t="s">
        <v>198</v>
      </c>
      <c r="E142" s="73">
        <f t="shared" si="1"/>
        <v>1020400</v>
      </c>
      <c r="F142" s="7">
        <v>910400</v>
      </c>
      <c r="G142" s="17">
        <v>110000</v>
      </c>
      <c r="H142" s="62"/>
    </row>
    <row r="143" spans="1:8" s="3" customFormat="1" ht="25.5">
      <c r="A143" s="82"/>
      <c r="B143" s="83"/>
      <c r="C143" s="55" t="s">
        <v>275</v>
      </c>
      <c r="D143" s="82" t="s">
        <v>101</v>
      </c>
      <c r="E143" s="73">
        <f t="shared" si="1"/>
        <v>31410</v>
      </c>
      <c r="F143" s="7"/>
      <c r="G143" s="17">
        <v>31410</v>
      </c>
      <c r="H143" s="62"/>
    </row>
    <row r="144" spans="1:8" s="3" customFormat="1">
      <c r="A144" s="82"/>
      <c r="B144" s="83"/>
      <c r="C144" s="55" t="s">
        <v>160</v>
      </c>
      <c r="D144" s="82"/>
      <c r="E144" s="73">
        <f t="shared" si="1"/>
        <v>263266.17</v>
      </c>
      <c r="F144" s="7"/>
      <c r="G144" s="17">
        <f>177800+85466.17</f>
        <v>263266.17</v>
      </c>
      <c r="H144" s="62"/>
    </row>
    <row r="145" spans="1:8" s="3" customFormat="1" ht="38.25">
      <c r="A145" s="82"/>
      <c r="B145" s="83"/>
      <c r="C145" s="55" t="s">
        <v>305</v>
      </c>
      <c r="D145" s="82"/>
      <c r="E145" s="73">
        <f t="shared" si="1"/>
        <v>513047</v>
      </c>
      <c r="F145" s="7"/>
      <c r="G145" s="17">
        <f>499999+10700+2348</f>
        <v>513047</v>
      </c>
      <c r="H145" s="62"/>
    </row>
    <row r="146" spans="1:8" s="3" customFormat="1">
      <c r="A146" s="82"/>
      <c r="B146" s="83"/>
      <c r="C146" s="55" t="s">
        <v>197</v>
      </c>
      <c r="D146" s="82"/>
      <c r="E146" s="73">
        <f t="shared" si="1"/>
        <v>46170</v>
      </c>
      <c r="F146" s="7"/>
      <c r="G146" s="17">
        <v>46170</v>
      </c>
      <c r="H146" s="62"/>
    </row>
    <row r="147" spans="1:8" s="3" customFormat="1">
      <c r="A147" s="82"/>
      <c r="B147" s="83"/>
      <c r="C147" s="55" t="s">
        <v>294</v>
      </c>
      <c r="D147" s="82"/>
      <c r="E147" s="73">
        <f t="shared" si="1"/>
        <v>21183.69</v>
      </c>
      <c r="F147" s="7"/>
      <c r="G147" s="17">
        <v>21183.69</v>
      </c>
      <c r="H147" s="62"/>
    </row>
    <row r="148" spans="1:8" s="3" customFormat="1" ht="51">
      <c r="A148" s="82"/>
      <c r="B148" s="83"/>
      <c r="C148" s="55" t="str">
        <f>C132</f>
        <v>Разработка проектной документации, сметной документации, услуги технического надзора, разработка сметной документации</v>
      </c>
      <c r="D148" s="82"/>
      <c r="E148" s="73">
        <f t="shared" si="1"/>
        <v>383610.83</v>
      </c>
      <c r="F148" s="7"/>
      <c r="G148" s="17">
        <f>14486+17500+1624.83+350000</f>
        <v>383610.83</v>
      </c>
      <c r="H148" s="62"/>
    </row>
    <row r="149" spans="1:8" s="3" customFormat="1" ht="25.5">
      <c r="A149" s="82"/>
      <c r="B149" s="83" t="s">
        <v>199</v>
      </c>
      <c r="C149" s="55" t="s">
        <v>192</v>
      </c>
      <c r="D149" s="82"/>
      <c r="E149" s="73">
        <f t="shared" si="1"/>
        <v>200000</v>
      </c>
      <c r="F149" s="7"/>
      <c r="G149" s="17">
        <v>200000</v>
      </c>
      <c r="H149" s="62"/>
    </row>
    <row r="150" spans="1:8" s="3" customFormat="1">
      <c r="A150" s="82"/>
      <c r="B150" s="83"/>
      <c r="C150" s="55" t="s">
        <v>118</v>
      </c>
      <c r="D150" s="82"/>
      <c r="E150" s="73">
        <f t="shared" si="1"/>
        <v>234000</v>
      </c>
      <c r="F150" s="7"/>
      <c r="G150" s="17">
        <v>234000</v>
      </c>
      <c r="H150" s="62"/>
    </row>
    <row r="151" spans="1:8" s="3" customFormat="1" ht="51">
      <c r="A151" s="82"/>
      <c r="B151" s="83" t="s">
        <v>64</v>
      </c>
      <c r="C151" s="54" t="s">
        <v>200</v>
      </c>
      <c r="D151" s="82"/>
      <c r="E151" s="73">
        <f t="shared" si="1"/>
        <v>74437.929999999993</v>
      </c>
      <c r="F151" s="7"/>
      <c r="G151" s="17">
        <f>56000+18437.93</f>
        <v>74437.929999999993</v>
      </c>
      <c r="H151" s="62"/>
    </row>
    <row r="152" spans="1:8" s="3" customFormat="1">
      <c r="A152" s="82"/>
      <c r="B152" s="83"/>
      <c r="C152" s="54" t="s">
        <v>201</v>
      </c>
      <c r="D152" s="82"/>
      <c r="E152" s="73">
        <f t="shared" si="1"/>
        <v>26480</v>
      </c>
      <c r="F152" s="7"/>
      <c r="G152" s="17">
        <v>26480</v>
      </c>
      <c r="H152" s="62"/>
    </row>
    <row r="153" spans="1:8" s="3" customFormat="1" ht="25.5">
      <c r="A153" s="82"/>
      <c r="B153" s="83"/>
      <c r="C153" s="56" t="s">
        <v>202</v>
      </c>
      <c r="D153" s="82"/>
      <c r="E153" s="73">
        <f t="shared" si="1"/>
        <v>120000</v>
      </c>
      <c r="F153" s="7"/>
      <c r="G153" s="15">
        <v>120000</v>
      </c>
      <c r="H153" s="62"/>
    </row>
    <row r="154" spans="1:8" s="3" customFormat="1">
      <c r="A154" s="82"/>
      <c r="B154" s="83"/>
      <c r="C154" s="56" t="s">
        <v>285</v>
      </c>
      <c r="D154" s="82"/>
      <c r="E154" s="73">
        <f t="shared" si="1"/>
        <v>288529.88</v>
      </c>
      <c r="F154" s="7"/>
      <c r="G154" s="15">
        <v>288529.88</v>
      </c>
      <c r="H154" s="62"/>
    </row>
    <row r="155" spans="1:8" s="3" customFormat="1" ht="30">
      <c r="A155" s="82"/>
      <c r="B155" s="83"/>
      <c r="C155" s="57" t="s">
        <v>203</v>
      </c>
      <c r="D155" s="82"/>
      <c r="E155" s="73">
        <f t="shared" si="1"/>
        <v>136749.32</v>
      </c>
      <c r="F155" s="7"/>
      <c r="G155" s="14">
        <f>134828.32+1921</f>
        <v>136749.32</v>
      </c>
      <c r="H155" s="62"/>
    </row>
    <row r="156" spans="1:8" s="3" customFormat="1" ht="38.25">
      <c r="A156" s="82"/>
      <c r="B156" s="83"/>
      <c r="C156" s="66" t="s">
        <v>295</v>
      </c>
      <c r="D156" s="82"/>
      <c r="E156" s="73">
        <f t="shared" si="1"/>
        <v>8500</v>
      </c>
      <c r="F156" s="7"/>
      <c r="G156" s="14">
        <v>8500</v>
      </c>
      <c r="H156" s="62"/>
    </row>
    <row r="157" spans="1:8" s="3" customFormat="1" ht="38.25">
      <c r="A157" s="82"/>
      <c r="B157" s="83"/>
      <c r="C157" s="66" t="s">
        <v>297</v>
      </c>
      <c r="D157" s="82"/>
      <c r="E157" s="73">
        <f t="shared" si="1"/>
        <v>15000</v>
      </c>
      <c r="F157" s="7"/>
      <c r="G157" s="14">
        <v>15000</v>
      </c>
      <c r="H157" s="62"/>
    </row>
    <row r="158" spans="1:8" s="3" customFormat="1" ht="38.25">
      <c r="A158" s="82"/>
      <c r="B158" s="83"/>
      <c r="C158" s="66" t="s">
        <v>298</v>
      </c>
      <c r="D158" s="82"/>
      <c r="E158" s="73">
        <f t="shared" si="1"/>
        <v>50000</v>
      </c>
      <c r="F158" s="7"/>
      <c r="G158" s="14">
        <v>50000</v>
      </c>
      <c r="H158" s="62"/>
    </row>
    <row r="159" spans="1:8" s="3" customFormat="1" ht="38.25">
      <c r="A159" s="82"/>
      <c r="B159" s="83"/>
      <c r="C159" s="54" t="str">
        <f>C190</f>
        <v>Ремонт кабинетов ОГЭ и комнаты детских инициатив, в том числе приобретение строительных материалов</v>
      </c>
      <c r="D159" s="82"/>
      <c r="E159" s="73">
        <f t="shared" si="1"/>
        <v>150000</v>
      </c>
      <c r="F159" s="7"/>
      <c r="G159" s="17">
        <v>150000</v>
      </c>
      <c r="H159" s="62"/>
    </row>
    <row r="160" spans="1:8" s="3" customFormat="1" ht="25.5">
      <c r="A160" s="82"/>
      <c r="B160" s="83" t="s">
        <v>204</v>
      </c>
      <c r="C160" s="55" t="s">
        <v>205</v>
      </c>
      <c r="D160" s="82"/>
      <c r="E160" s="73">
        <f t="shared" si="1"/>
        <v>998600</v>
      </c>
      <c r="F160" s="7"/>
      <c r="G160" s="17">
        <v>998600</v>
      </c>
      <c r="H160" s="62"/>
    </row>
    <row r="161" spans="1:8" s="3" customFormat="1">
      <c r="A161" s="82"/>
      <c r="B161" s="83"/>
      <c r="C161" s="55" t="s">
        <v>206</v>
      </c>
      <c r="D161" s="82"/>
      <c r="E161" s="73">
        <f t="shared" si="1"/>
        <v>238261</v>
      </c>
      <c r="F161" s="7"/>
      <c r="G161" s="17">
        <v>238261</v>
      </c>
      <c r="H161" s="62"/>
    </row>
    <row r="162" spans="1:8" s="3" customFormat="1" ht="25.5">
      <c r="A162" s="82"/>
      <c r="B162" s="83"/>
      <c r="C162" s="55" t="s">
        <v>270</v>
      </c>
      <c r="D162" s="82"/>
      <c r="E162" s="73">
        <f t="shared" si="1"/>
        <v>141547.18</v>
      </c>
      <c r="F162" s="7"/>
      <c r="G162" s="15">
        <v>141547.18</v>
      </c>
      <c r="H162" s="62"/>
    </row>
    <row r="163" spans="1:8" s="3" customFormat="1" ht="38.25">
      <c r="A163" s="82"/>
      <c r="B163" s="83"/>
      <c r="C163" s="55" t="s">
        <v>271</v>
      </c>
      <c r="D163" s="82"/>
      <c r="E163" s="73">
        <f t="shared" si="1"/>
        <v>41700</v>
      </c>
      <c r="F163" s="7"/>
      <c r="G163" s="15">
        <v>41700</v>
      </c>
      <c r="H163" s="62"/>
    </row>
    <row r="164" spans="1:8" s="3" customFormat="1" ht="38.25">
      <c r="A164" s="82"/>
      <c r="B164" s="83"/>
      <c r="C164" s="55" t="s">
        <v>272</v>
      </c>
      <c r="D164" s="82"/>
      <c r="E164" s="73">
        <f t="shared" si="1"/>
        <v>26000</v>
      </c>
      <c r="F164" s="7"/>
      <c r="G164" s="15">
        <v>26000</v>
      </c>
      <c r="H164" s="62"/>
    </row>
    <row r="165" spans="1:8" s="3" customFormat="1" ht="38.25">
      <c r="A165" s="82"/>
      <c r="B165" s="83"/>
      <c r="C165" s="55" t="s">
        <v>273</v>
      </c>
      <c r="D165" s="82"/>
      <c r="E165" s="73">
        <f t="shared" si="1"/>
        <v>906758.16</v>
      </c>
      <c r="F165" s="7"/>
      <c r="G165" s="15">
        <v>906758.16</v>
      </c>
      <c r="H165" s="62"/>
    </row>
    <row r="166" spans="1:8" s="3" customFormat="1" ht="25.5">
      <c r="A166" s="82"/>
      <c r="B166" s="83"/>
      <c r="C166" s="80" t="s">
        <v>270</v>
      </c>
      <c r="D166" s="82"/>
      <c r="E166" s="25">
        <f t="shared" si="1"/>
        <v>38000</v>
      </c>
      <c r="F166" s="23"/>
      <c r="G166" s="65">
        <v>38000</v>
      </c>
      <c r="H166" s="62"/>
    </row>
    <row r="167" spans="1:8" s="3" customFormat="1">
      <c r="A167" s="82"/>
      <c r="B167" s="83"/>
      <c r="C167" s="55" t="s">
        <v>277</v>
      </c>
      <c r="D167" s="82"/>
      <c r="E167" s="73">
        <f t="shared" si="1"/>
        <v>33600</v>
      </c>
      <c r="F167" s="7"/>
      <c r="G167" s="15">
        <v>33600</v>
      </c>
      <c r="H167" s="62"/>
    </row>
    <row r="168" spans="1:8" s="3" customFormat="1" ht="25.5">
      <c r="A168" s="82"/>
      <c r="B168" s="83"/>
      <c r="C168" s="55" t="s">
        <v>276</v>
      </c>
      <c r="D168" s="82"/>
      <c r="E168" s="73">
        <f t="shared" si="1"/>
        <v>51820</v>
      </c>
      <c r="F168" s="7"/>
      <c r="G168" s="15">
        <v>51820</v>
      </c>
      <c r="H168" s="62"/>
    </row>
    <row r="169" spans="1:8" s="3" customFormat="1" ht="38.25">
      <c r="A169" s="82"/>
      <c r="B169" s="83"/>
      <c r="C169" s="55" t="s">
        <v>279</v>
      </c>
      <c r="D169" s="82"/>
      <c r="E169" s="73">
        <f t="shared" si="1"/>
        <v>40227</v>
      </c>
      <c r="F169" s="7"/>
      <c r="G169" s="15">
        <v>40227</v>
      </c>
      <c r="H169" s="62"/>
    </row>
    <row r="170" spans="1:8" s="3" customFormat="1" ht="38.25">
      <c r="A170" s="82"/>
      <c r="B170" s="83"/>
      <c r="C170" s="55" t="str">
        <f>C140</f>
        <v>Ремонт комнаты детских инициатив, в том числе приобретение строительных материалов</v>
      </c>
      <c r="D170" s="82"/>
      <c r="E170" s="73">
        <f t="shared" si="1"/>
        <v>71000</v>
      </c>
      <c r="F170" s="7"/>
      <c r="G170" s="17">
        <f>200000-129000</f>
        <v>71000</v>
      </c>
      <c r="H170" s="62"/>
    </row>
    <row r="171" spans="1:8" s="3" customFormat="1">
      <c r="A171" s="82"/>
      <c r="B171" s="83"/>
      <c r="C171" s="55" t="s">
        <v>258</v>
      </c>
      <c r="D171" s="82"/>
      <c r="E171" s="73">
        <f t="shared" si="1"/>
        <v>151901.73000000001</v>
      </c>
      <c r="F171" s="7"/>
      <c r="G171" s="17">
        <v>151901.73000000001</v>
      </c>
      <c r="H171" s="62"/>
    </row>
    <row r="172" spans="1:8" s="3" customFormat="1">
      <c r="A172" s="82"/>
      <c r="B172" s="83"/>
      <c r="C172" s="55" t="s">
        <v>257</v>
      </c>
      <c r="D172" s="82"/>
      <c r="E172" s="73">
        <f t="shared" si="1"/>
        <v>197000</v>
      </c>
      <c r="F172" s="7"/>
      <c r="G172" s="17">
        <v>197000</v>
      </c>
      <c r="H172" s="62"/>
    </row>
    <row r="173" spans="1:8" s="3" customFormat="1">
      <c r="A173" s="82"/>
      <c r="B173" s="83"/>
      <c r="C173" s="55" t="s">
        <v>269</v>
      </c>
      <c r="D173" s="82"/>
      <c r="E173" s="73">
        <f t="shared" si="1"/>
        <v>2411660</v>
      </c>
      <c r="F173" s="7"/>
      <c r="G173" s="17">
        <v>2411660</v>
      </c>
      <c r="H173" s="62"/>
    </row>
    <row r="174" spans="1:8" s="3" customFormat="1">
      <c r="A174" s="82"/>
      <c r="B174" s="83"/>
      <c r="C174" s="56" t="s">
        <v>268</v>
      </c>
      <c r="D174" s="82"/>
      <c r="E174" s="73">
        <f t="shared" si="1"/>
        <v>234149.02</v>
      </c>
      <c r="F174" s="7"/>
      <c r="G174" s="15">
        <v>234149.02</v>
      </c>
      <c r="H174" s="62"/>
    </row>
    <row r="175" spans="1:8" s="3" customFormat="1" ht="12.75" customHeight="1">
      <c r="A175" s="82"/>
      <c r="B175" s="83" t="s">
        <v>207</v>
      </c>
      <c r="C175" s="54" t="s">
        <v>208</v>
      </c>
      <c r="D175" s="82"/>
      <c r="E175" s="73">
        <f t="shared" si="1"/>
        <v>1023350.71</v>
      </c>
      <c r="F175" s="7">
        <v>0</v>
      </c>
      <c r="G175" s="17">
        <v>1023350.71</v>
      </c>
      <c r="H175" s="62"/>
    </row>
    <row r="176" spans="1:8" s="3" customFormat="1" ht="38.25">
      <c r="A176" s="82"/>
      <c r="B176" s="83"/>
      <c r="C176" s="54" t="str">
        <f>C124</f>
        <v>Ремонт кабинетов ОГЭ и комнаты детских инициатив, в том числе приобретение строительных материалов</v>
      </c>
      <c r="D176" s="82"/>
      <c r="E176" s="73">
        <f t="shared" si="1"/>
        <v>277636.08</v>
      </c>
      <c r="F176" s="7"/>
      <c r="G176" s="17">
        <v>277636.08</v>
      </c>
      <c r="H176" s="62"/>
    </row>
    <row r="177" spans="1:8" s="3" customFormat="1">
      <c r="A177" s="82"/>
      <c r="B177" s="83"/>
      <c r="C177" s="54" t="s">
        <v>185</v>
      </c>
      <c r="D177" s="82"/>
      <c r="E177" s="73">
        <f t="shared" si="1"/>
        <v>1386785.57</v>
      </c>
      <c r="F177" s="7"/>
      <c r="G177" s="17">
        <v>1386785.57</v>
      </c>
      <c r="H177" s="62"/>
    </row>
    <row r="178" spans="1:8" ht="51">
      <c r="A178" s="82"/>
      <c r="B178" s="77"/>
      <c r="C178" s="54" t="s">
        <v>117</v>
      </c>
      <c r="D178" s="82"/>
      <c r="E178" s="73">
        <f>G178</f>
        <v>1595566.12</v>
      </c>
      <c r="F178" s="7"/>
      <c r="G178" s="17">
        <f>1245566.12+350000</f>
        <v>1595566.12</v>
      </c>
    </row>
    <row r="179" spans="1:8" ht="25.5">
      <c r="A179" s="82"/>
      <c r="B179" s="83" t="s">
        <v>209</v>
      </c>
      <c r="C179" s="54" t="s">
        <v>245</v>
      </c>
      <c r="D179" s="82"/>
      <c r="E179" s="73">
        <f t="shared" si="1"/>
        <v>2342054.65</v>
      </c>
      <c r="F179" s="7"/>
      <c r="G179" s="17">
        <f>2040420+301634.65</f>
        <v>2342054.65</v>
      </c>
    </row>
    <row r="180" spans="1:8">
      <c r="A180" s="82"/>
      <c r="B180" s="83"/>
      <c r="C180" s="54" t="s">
        <v>246</v>
      </c>
      <c r="D180" s="82"/>
      <c r="E180" s="73">
        <f t="shared" si="1"/>
        <v>137247.1</v>
      </c>
      <c r="F180" s="22"/>
      <c r="G180" s="73">
        <v>137247.1</v>
      </c>
    </row>
    <row r="181" spans="1:8" ht="25.5">
      <c r="A181" s="82"/>
      <c r="B181" s="83"/>
      <c r="C181" s="54" t="s">
        <v>299</v>
      </c>
      <c r="D181" s="82"/>
      <c r="E181" s="73">
        <f t="shared" si="1"/>
        <v>87272.42</v>
      </c>
      <c r="F181" s="22"/>
      <c r="G181" s="73">
        <v>87272.42</v>
      </c>
    </row>
    <row r="182" spans="1:8">
      <c r="A182" s="82"/>
      <c r="B182" s="83"/>
      <c r="C182" s="54" t="s">
        <v>300</v>
      </c>
      <c r="D182" s="82"/>
      <c r="E182" s="73">
        <f t="shared" si="1"/>
        <v>109909.72</v>
      </c>
      <c r="F182" s="22"/>
      <c r="G182" s="73">
        <v>109909.72</v>
      </c>
    </row>
    <row r="183" spans="1:8" ht="38.25">
      <c r="A183" s="82"/>
      <c r="B183" s="83"/>
      <c r="C183" s="54" t="str">
        <f>C190</f>
        <v>Ремонт кабинетов ОГЭ и комнаты детских инициатив, в том числе приобретение строительных материалов</v>
      </c>
      <c r="D183" s="82"/>
      <c r="E183" s="73">
        <f t="shared" si="1"/>
        <v>250000</v>
      </c>
      <c r="F183" s="7"/>
      <c r="G183" s="17">
        <v>250000</v>
      </c>
    </row>
    <row r="184" spans="1:8">
      <c r="A184" s="82"/>
      <c r="B184" s="83"/>
      <c r="C184" s="54" t="s">
        <v>118</v>
      </c>
      <c r="D184" s="82"/>
      <c r="E184" s="73">
        <f t="shared" si="1"/>
        <v>90000</v>
      </c>
      <c r="F184" s="7"/>
      <c r="G184" s="17">
        <v>90000</v>
      </c>
    </row>
    <row r="185" spans="1:8" ht="38.25">
      <c r="A185" s="82"/>
      <c r="B185" s="83" t="s">
        <v>69</v>
      </c>
      <c r="C185" s="54" t="str">
        <f>C190</f>
        <v>Ремонт кабинетов ОГЭ и комнаты детских инициатив, в том числе приобретение строительных материалов</v>
      </c>
      <c r="D185" s="82"/>
      <c r="E185" s="73">
        <f t="shared" si="1"/>
        <v>250000</v>
      </c>
      <c r="F185" s="7"/>
      <c r="G185" s="17">
        <v>250000</v>
      </c>
    </row>
    <row r="186" spans="1:8">
      <c r="A186" s="82"/>
      <c r="B186" s="83"/>
      <c r="C186" s="54" t="s">
        <v>201</v>
      </c>
      <c r="D186" s="82"/>
      <c r="E186" s="73">
        <f t="shared" si="1"/>
        <v>35448</v>
      </c>
      <c r="F186" s="7"/>
      <c r="G186" s="17">
        <v>35448</v>
      </c>
    </row>
    <row r="187" spans="1:8">
      <c r="A187" s="82"/>
      <c r="B187" s="83"/>
      <c r="C187" s="54" t="s">
        <v>278</v>
      </c>
      <c r="D187" s="82"/>
      <c r="E187" s="73">
        <f t="shared" si="1"/>
        <v>32288</v>
      </c>
      <c r="F187" s="7"/>
      <c r="G187" s="17">
        <v>32288</v>
      </c>
    </row>
    <row r="188" spans="1:8">
      <c r="A188" s="82"/>
      <c r="B188" s="83"/>
      <c r="C188" s="56" t="s">
        <v>210</v>
      </c>
      <c r="D188" s="82"/>
      <c r="E188" s="73">
        <f t="shared" si="1"/>
        <v>259641.60000000001</v>
      </c>
      <c r="F188" s="7"/>
      <c r="G188" s="15">
        <v>259641.60000000001</v>
      </c>
    </row>
    <row r="189" spans="1:8">
      <c r="A189" s="82"/>
      <c r="B189" s="83" t="s">
        <v>72</v>
      </c>
      <c r="C189" s="56" t="s">
        <v>126</v>
      </c>
      <c r="D189" s="82"/>
      <c r="E189" s="73">
        <f t="shared" si="1"/>
        <v>1806738.72</v>
      </c>
      <c r="F189" s="7"/>
      <c r="G189" s="15">
        <f>1221300+585438.72</f>
        <v>1806738.72</v>
      </c>
    </row>
    <row r="190" spans="1:8" ht="58.9" customHeight="1">
      <c r="A190" s="82"/>
      <c r="B190" s="83"/>
      <c r="C190" s="54" t="str">
        <f>C116</f>
        <v>Ремонт кабинетов ОГЭ и комнаты детских инициатив, в том числе приобретение строительных материалов</v>
      </c>
      <c r="D190" s="82"/>
      <c r="E190" s="73">
        <f t="shared" si="1"/>
        <v>150000</v>
      </c>
      <c r="F190" s="7"/>
      <c r="G190" s="17">
        <v>150000</v>
      </c>
    </row>
    <row r="191" spans="1:8" ht="25.5">
      <c r="A191" s="82"/>
      <c r="B191" s="83" t="s">
        <v>73</v>
      </c>
      <c r="C191" s="54" t="str">
        <f>C149</f>
        <v>Ремонт кабинетов ЕГЭ, в том числе приобретение строительных материалов</v>
      </c>
      <c r="D191" s="82"/>
      <c r="E191" s="73">
        <f t="shared" si="1"/>
        <v>200000</v>
      </c>
      <c r="F191" s="7"/>
      <c r="G191" s="17">
        <f>200000</f>
        <v>200000</v>
      </c>
    </row>
    <row r="192" spans="1:8">
      <c r="A192" s="82"/>
      <c r="B192" s="83"/>
      <c r="C192" s="54" t="s">
        <v>106</v>
      </c>
      <c r="D192" s="82"/>
      <c r="E192" s="73">
        <f t="shared" si="1"/>
        <v>221000</v>
      </c>
      <c r="F192" s="7"/>
      <c r="G192" s="17">
        <f>186000+35000</f>
        <v>221000</v>
      </c>
    </row>
    <row r="193" spans="1:8" ht="25.5">
      <c r="A193" s="82"/>
      <c r="B193" s="83"/>
      <c r="C193" s="54" t="s">
        <v>308</v>
      </c>
      <c r="D193" s="82"/>
      <c r="E193" s="73">
        <f t="shared" si="1"/>
        <v>263900</v>
      </c>
      <c r="F193" s="7"/>
      <c r="G193" s="17">
        <f>131951.82+131951.82-3.64</f>
        <v>263900</v>
      </c>
    </row>
    <row r="194" spans="1:8" ht="38.25">
      <c r="A194" s="82"/>
      <c r="B194" s="83"/>
      <c r="C194" s="54" t="str">
        <f>C170</f>
        <v>Ремонт комнаты детских инициатив, в том числе приобретение строительных материалов</v>
      </c>
      <c r="D194" s="82"/>
      <c r="E194" s="73">
        <f t="shared" si="1"/>
        <v>48090</v>
      </c>
      <c r="F194" s="7"/>
      <c r="G194" s="17">
        <f>100000-51910</f>
        <v>48090</v>
      </c>
    </row>
    <row r="195" spans="1:8" ht="25.5">
      <c r="A195" s="82"/>
      <c r="B195" s="84" t="s">
        <v>75</v>
      </c>
      <c r="C195" s="54" t="s">
        <v>211</v>
      </c>
      <c r="D195" s="82"/>
      <c r="E195" s="93">
        <f>F195+G195</f>
        <v>22668758.27</v>
      </c>
      <c r="F195" s="85"/>
      <c r="G195" s="92">
        <f>21078995.72+1589762.55</f>
        <v>22668758.27</v>
      </c>
    </row>
    <row r="196" spans="1:8" ht="25.5">
      <c r="A196" s="82"/>
      <c r="B196" s="84"/>
      <c r="C196" s="54" t="s">
        <v>212</v>
      </c>
      <c r="D196" s="82"/>
      <c r="E196" s="93"/>
      <c r="F196" s="85"/>
      <c r="G196" s="92"/>
    </row>
    <row r="197" spans="1:8" ht="92.25" customHeight="1">
      <c r="A197" s="82"/>
      <c r="B197" s="84"/>
      <c r="C197" s="54" t="s">
        <v>242</v>
      </c>
      <c r="D197" s="82"/>
      <c r="E197" s="93"/>
      <c r="F197" s="85"/>
      <c r="G197" s="92"/>
    </row>
    <row r="198" spans="1:8" s="3" customFormat="1" ht="30" customHeight="1">
      <c r="A198" s="82"/>
      <c r="B198" s="84"/>
      <c r="C198" s="54" t="s">
        <v>213</v>
      </c>
      <c r="D198" s="82"/>
      <c r="E198" s="93"/>
      <c r="F198" s="85"/>
      <c r="G198" s="92"/>
      <c r="H198" s="62"/>
    </row>
    <row r="199" spans="1:8" s="3" customFormat="1">
      <c r="A199" s="82"/>
      <c r="B199" s="84"/>
      <c r="C199" s="54" t="s">
        <v>214</v>
      </c>
      <c r="D199" s="82"/>
      <c r="E199" s="93"/>
      <c r="F199" s="85"/>
      <c r="G199" s="92"/>
      <c r="H199" s="62"/>
    </row>
    <row r="200" spans="1:8" s="3" customFormat="1" ht="25.5">
      <c r="A200" s="82"/>
      <c r="B200" s="84"/>
      <c r="C200" s="54" t="s">
        <v>251</v>
      </c>
      <c r="D200" s="82"/>
      <c r="E200" s="93"/>
      <c r="F200" s="85"/>
      <c r="G200" s="92"/>
      <c r="H200" s="62"/>
    </row>
    <row r="201" spans="1:8" s="3" customFormat="1" ht="38.25">
      <c r="A201" s="82"/>
      <c r="B201" s="84"/>
      <c r="C201" s="54" t="str">
        <f>C194</f>
        <v>Ремонт комнаты детских инициатив, в том числе приобретение строительных материалов</v>
      </c>
      <c r="D201" s="82"/>
      <c r="E201" s="93"/>
      <c r="F201" s="85"/>
      <c r="G201" s="92"/>
      <c r="H201" s="62"/>
    </row>
    <row r="202" spans="1:8" s="3" customFormat="1">
      <c r="A202" s="82"/>
      <c r="B202" s="84"/>
      <c r="C202" s="54" t="s">
        <v>250</v>
      </c>
      <c r="D202" s="82"/>
      <c r="E202" s="93"/>
      <c r="F202" s="85"/>
      <c r="G202" s="92"/>
      <c r="H202" s="62"/>
    </row>
    <row r="203" spans="1:8" s="3" customFormat="1" ht="25.5">
      <c r="A203" s="82"/>
      <c r="B203" s="84"/>
      <c r="C203" s="54" t="s">
        <v>215</v>
      </c>
      <c r="D203" s="82"/>
      <c r="E203" s="93"/>
      <c r="F203" s="85"/>
      <c r="G203" s="92"/>
      <c r="H203" s="62"/>
    </row>
    <row r="204" spans="1:8" s="3" customFormat="1" ht="25.5">
      <c r="A204" s="82"/>
      <c r="B204" s="84"/>
      <c r="C204" s="54" t="s">
        <v>216</v>
      </c>
      <c r="D204" s="82"/>
      <c r="E204" s="93"/>
      <c r="F204" s="85"/>
      <c r="G204" s="92"/>
      <c r="H204" s="62"/>
    </row>
    <row r="205" spans="1:8" s="3" customFormat="1" ht="38.25">
      <c r="A205" s="82"/>
      <c r="B205" s="84" t="s">
        <v>217</v>
      </c>
      <c r="C205" s="54" t="str">
        <f>C190</f>
        <v>Ремонт кабинетов ОГЭ и комнаты детских инициатив, в том числе приобретение строительных материалов</v>
      </c>
      <c r="D205" s="82"/>
      <c r="E205" s="74">
        <f t="shared" ref="E205:E220" si="2">F205+G205</f>
        <v>250000</v>
      </c>
      <c r="F205" s="79"/>
      <c r="G205" s="73">
        <v>250000</v>
      </c>
      <c r="H205" s="62"/>
    </row>
    <row r="206" spans="1:8" s="3" customFormat="1">
      <c r="A206" s="82"/>
      <c r="B206" s="84"/>
      <c r="C206" s="54" t="s">
        <v>114</v>
      </c>
      <c r="D206" s="82"/>
      <c r="E206" s="74">
        <f t="shared" si="2"/>
        <v>388050</v>
      </c>
      <c r="F206" s="79"/>
      <c r="G206" s="73">
        <v>388050</v>
      </c>
      <c r="H206" s="62"/>
    </row>
    <row r="207" spans="1:8" s="3" customFormat="1" ht="25.5">
      <c r="A207" s="82"/>
      <c r="B207" s="84" t="s">
        <v>218</v>
      </c>
      <c r="C207" s="54" t="s">
        <v>219</v>
      </c>
      <c r="D207" s="82"/>
      <c r="E207" s="74">
        <f t="shared" si="2"/>
        <v>278049.05</v>
      </c>
      <c r="F207" s="79"/>
      <c r="G207" s="73">
        <v>278049.05</v>
      </c>
      <c r="H207" s="62"/>
    </row>
    <row r="208" spans="1:8" s="3" customFormat="1" ht="55.15" customHeight="1">
      <c r="A208" s="82"/>
      <c r="B208" s="84"/>
      <c r="C208" s="54" t="str">
        <f>C194</f>
        <v>Ремонт комнаты детских инициатив, в том числе приобретение строительных материалов</v>
      </c>
      <c r="D208" s="82"/>
      <c r="E208" s="74">
        <f t="shared" si="2"/>
        <v>300000</v>
      </c>
      <c r="F208" s="79"/>
      <c r="G208" s="73">
        <v>300000</v>
      </c>
      <c r="H208" s="62"/>
    </row>
    <row r="209" spans="1:9" s="3" customFormat="1">
      <c r="A209" s="82"/>
      <c r="B209" s="84"/>
      <c r="C209" s="54" t="s">
        <v>126</v>
      </c>
      <c r="D209" s="82"/>
      <c r="E209" s="74">
        <f t="shared" si="2"/>
        <v>163863.42000000001</v>
      </c>
      <c r="F209" s="79"/>
      <c r="G209" s="73">
        <v>163863.42000000001</v>
      </c>
      <c r="H209" s="62"/>
    </row>
    <row r="210" spans="1:9" s="3" customFormat="1">
      <c r="A210" s="82"/>
      <c r="B210" s="84"/>
      <c r="C210" s="54" t="s">
        <v>220</v>
      </c>
      <c r="D210" s="82"/>
      <c r="E210" s="74">
        <f t="shared" si="2"/>
        <v>61400</v>
      </c>
      <c r="F210" s="79"/>
      <c r="G210" s="73">
        <v>61400</v>
      </c>
      <c r="H210" s="62"/>
    </row>
    <row r="211" spans="1:9" s="3" customFormat="1">
      <c r="A211" s="82"/>
      <c r="B211" s="84"/>
      <c r="C211" s="54" t="s">
        <v>301</v>
      </c>
      <c r="D211" s="82"/>
      <c r="E211" s="74">
        <f t="shared" si="2"/>
        <v>827178.66</v>
      </c>
      <c r="F211" s="79"/>
      <c r="G211" s="73">
        <v>827178.66</v>
      </c>
      <c r="H211" s="62"/>
    </row>
    <row r="212" spans="1:9" s="3" customFormat="1" ht="89.25">
      <c r="A212" s="82"/>
      <c r="B212" s="84"/>
      <c r="C212" s="54" t="str">
        <f>C197</f>
        <v>Разработка проектной документации, сметной документации, услуги технического надзора, разработка сметной документации, а также научно-исследовательские работы по обследованию ограждающих конструкций</v>
      </c>
      <c r="D212" s="82"/>
      <c r="E212" s="74">
        <f t="shared" si="2"/>
        <v>773206.07</v>
      </c>
      <c r="F212" s="79"/>
      <c r="G212" s="73">
        <f>791644-18437.93</f>
        <v>773206.07</v>
      </c>
      <c r="H212" s="62"/>
    </row>
    <row r="213" spans="1:9" s="3" customFormat="1" ht="28.9" customHeight="1">
      <c r="A213" s="82"/>
      <c r="B213" s="84"/>
      <c r="C213" s="54" t="s">
        <v>221</v>
      </c>
      <c r="D213" s="82"/>
      <c r="E213" s="74">
        <f t="shared" si="2"/>
        <v>166667</v>
      </c>
      <c r="F213" s="79"/>
      <c r="G213" s="73">
        <v>166667</v>
      </c>
      <c r="H213" s="62"/>
    </row>
    <row r="214" spans="1:9">
      <c r="A214" s="82"/>
      <c r="B214" s="84" t="s">
        <v>82</v>
      </c>
      <c r="C214" s="54" t="str">
        <f>C242</f>
        <v>Разработка теплотехнического расчета</v>
      </c>
      <c r="D214" s="82"/>
      <c r="E214" s="74">
        <f t="shared" si="2"/>
        <v>55440</v>
      </c>
      <c r="F214" s="79"/>
      <c r="G214" s="73">
        <v>55440</v>
      </c>
    </row>
    <row r="215" spans="1:9" ht="30" customHeight="1">
      <c r="A215" s="82"/>
      <c r="B215" s="84"/>
      <c r="C215" s="58" t="s">
        <v>222</v>
      </c>
      <c r="D215" s="82"/>
      <c r="E215" s="74">
        <f t="shared" si="2"/>
        <v>205000</v>
      </c>
      <c r="F215" s="79"/>
      <c r="G215" s="73">
        <v>205000</v>
      </c>
    </row>
    <row r="216" spans="1:9" ht="30" customHeight="1">
      <c r="A216" s="82"/>
      <c r="B216" s="84"/>
      <c r="C216" s="58" t="s">
        <v>124</v>
      </c>
      <c r="D216" s="82"/>
      <c r="E216" s="74">
        <f t="shared" si="2"/>
        <v>469400</v>
      </c>
      <c r="F216" s="79"/>
      <c r="G216" s="73">
        <f>234700*2</f>
        <v>469400</v>
      </c>
    </row>
    <row r="217" spans="1:9">
      <c r="A217" s="82"/>
      <c r="B217" s="84"/>
      <c r="C217" s="56" t="s">
        <v>160</v>
      </c>
      <c r="D217" s="82"/>
      <c r="E217" s="74">
        <f t="shared" si="2"/>
        <v>794092</v>
      </c>
      <c r="F217" s="79"/>
      <c r="G217" s="73">
        <v>794092</v>
      </c>
    </row>
    <row r="218" spans="1:9">
      <c r="A218" s="82"/>
      <c r="B218" s="84" t="s">
        <v>223</v>
      </c>
      <c r="C218" s="56" t="s">
        <v>106</v>
      </c>
      <c r="D218" s="82"/>
      <c r="E218" s="74">
        <f t="shared" si="2"/>
        <v>220340</v>
      </c>
      <c r="F218" s="79"/>
      <c r="G218" s="73">
        <v>220340</v>
      </c>
    </row>
    <row r="219" spans="1:9">
      <c r="A219" s="82"/>
      <c r="B219" s="84"/>
      <c r="C219" s="56" t="s">
        <v>124</v>
      </c>
      <c r="D219" s="82"/>
      <c r="E219" s="74">
        <f t="shared" si="2"/>
        <v>314500</v>
      </c>
      <c r="F219" s="79"/>
      <c r="G219" s="73">
        <v>314500</v>
      </c>
    </row>
    <row r="220" spans="1:9" ht="38.25">
      <c r="A220" s="82"/>
      <c r="B220" s="84"/>
      <c r="C220" s="58" t="str">
        <f>C208</f>
        <v>Ремонт комнаты детских инициатив, в том числе приобретение строительных материалов</v>
      </c>
      <c r="D220" s="82"/>
      <c r="E220" s="74">
        <f t="shared" si="2"/>
        <v>100000</v>
      </c>
      <c r="F220" s="79"/>
      <c r="G220" s="73">
        <v>100000</v>
      </c>
    </row>
    <row r="221" spans="1:9">
      <c r="A221" s="82"/>
      <c r="B221" s="89" t="s">
        <v>95</v>
      </c>
      <c r="C221" s="89"/>
      <c r="D221" s="75"/>
      <c r="E221" s="73">
        <f>SUM(E107:E220)</f>
        <v>60007216.999999993</v>
      </c>
      <c r="F221" s="17">
        <f>SUM(F107:F220)</f>
        <v>910400</v>
      </c>
      <c r="G221" s="17">
        <f>SUM(G107:G220)</f>
        <v>59096816.999999993</v>
      </c>
      <c r="I221" s="62"/>
    </row>
    <row r="222" spans="1:9">
      <c r="A222" s="82"/>
      <c r="B222" s="87" t="s">
        <v>174</v>
      </c>
      <c r="C222" s="87"/>
      <c r="D222" s="87"/>
      <c r="E222" s="73">
        <f>G222</f>
        <v>1150262.6000000001</v>
      </c>
      <c r="F222" s="17">
        <f>F138+F126</f>
        <v>0</v>
      </c>
      <c r="G222" s="17">
        <f>G138+G126+G188+G130</f>
        <v>1150262.6000000001</v>
      </c>
      <c r="I222" s="62"/>
    </row>
    <row r="223" spans="1:9" ht="13.5" customHeight="1">
      <c r="A223" s="82" t="s">
        <v>252</v>
      </c>
      <c r="B223" s="78" t="s">
        <v>224</v>
      </c>
      <c r="C223" s="75" t="s">
        <v>181</v>
      </c>
      <c r="D223" s="86"/>
      <c r="E223" s="73">
        <f t="shared" ref="E223:E235" si="3">F223+G223</f>
        <v>30110</v>
      </c>
      <c r="F223" s="17"/>
      <c r="G223" s="17">
        <v>30110</v>
      </c>
      <c r="I223" s="60"/>
    </row>
    <row r="224" spans="1:9" ht="89.25">
      <c r="A224" s="82"/>
      <c r="B224" s="84" t="s">
        <v>225</v>
      </c>
      <c r="C224" s="75" t="s">
        <v>309</v>
      </c>
      <c r="D224" s="86"/>
      <c r="E224" s="73">
        <f t="shared" si="3"/>
        <v>1813900</v>
      </c>
      <c r="F224" s="17"/>
      <c r="G224" s="17">
        <f>1879100-65200</f>
        <v>1813900</v>
      </c>
      <c r="I224" s="60"/>
    </row>
    <row r="225" spans="1:9">
      <c r="A225" s="82"/>
      <c r="B225" s="84"/>
      <c r="C225" s="75" t="s">
        <v>317</v>
      </c>
      <c r="D225" s="86"/>
      <c r="E225" s="73">
        <f t="shared" si="3"/>
        <v>1849000</v>
      </c>
      <c r="F225" s="17"/>
      <c r="G225" s="17">
        <v>1849000</v>
      </c>
      <c r="I225" s="60"/>
    </row>
    <row r="226" spans="1:9" ht="13.5" customHeight="1">
      <c r="A226" s="82"/>
      <c r="B226" s="84" t="s">
        <v>226</v>
      </c>
      <c r="C226" s="75" t="s">
        <v>106</v>
      </c>
      <c r="D226" s="86"/>
      <c r="E226" s="73">
        <f t="shared" si="3"/>
        <v>43200</v>
      </c>
      <c r="F226" s="17"/>
      <c r="G226" s="17">
        <v>43200</v>
      </c>
    </row>
    <row r="227" spans="1:9" ht="13.5" customHeight="1">
      <c r="A227" s="82"/>
      <c r="B227" s="84"/>
      <c r="C227" s="75" t="s">
        <v>186</v>
      </c>
      <c r="D227" s="86"/>
      <c r="E227" s="73">
        <f t="shared" si="3"/>
        <v>75640</v>
      </c>
      <c r="F227" s="17"/>
      <c r="G227" s="15">
        <v>75640</v>
      </c>
    </row>
    <row r="228" spans="1:9" ht="13.5" customHeight="1">
      <c r="A228" s="82"/>
      <c r="B228" s="84" t="s">
        <v>227</v>
      </c>
      <c r="C228" s="16" t="s">
        <v>228</v>
      </c>
      <c r="D228" s="86"/>
      <c r="E228" s="73">
        <f t="shared" si="3"/>
        <v>183731</v>
      </c>
      <c r="F228" s="17"/>
      <c r="G228" s="15">
        <v>183731</v>
      </c>
    </row>
    <row r="229" spans="1:9" ht="25.5">
      <c r="A229" s="82"/>
      <c r="B229" s="84"/>
      <c r="C229" s="16" t="s">
        <v>311</v>
      </c>
      <c r="D229" s="86"/>
      <c r="E229" s="73">
        <f t="shared" si="3"/>
        <v>39146</v>
      </c>
      <c r="F229" s="17"/>
      <c r="G229" s="15">
        <v>39146</v>
      </c>
    </row>
    <row r="230" spans="1:9" ht="25.5">
      <c r="A230" s="82"/>
      <c r="B230" s="84"/>
      <c r="C230" s="16" t="s">
        <v>310</v>
      </c>
      <c r="D230" s="86"/>
      <c r="E230" s="73">
        <f t="shared" si="3"/>
        <v>26054</v>
      </c>
      <c r="F230" s="17"/>
      <c r="G230" s="15">
        <f>65200-39146</f>
        <v>26054</v>
      </c>
    </row>
    <row r="231" spans="1:9" ht="13.5" customHeight="1">
      <c r="A231" s="82"/>
      <c r="B231" s="84"/>
      <c r="C231" s="16" t="s">
        <v>185</v>
      </c>
      <c r="D231" s="86"/>
      <c r="E231" s="73">
        <f t="shared" si="3"/>
        <v>292800</v>
      </c>
      <c r="F231" s="17"/>
      <c r="G231" s="15">
        <v>292800</v>
      </c>
    </row>
    <row r="232" spans="1:9" ht="13.5" customHeight="1">
      <c r="A232" s="82"/>
      <c r="B232" s="84"/>
      <c r="C232" s="16" t="s">
        <v>229</v>
      </c>
      <c r="D232" s="86"/>
      <c r="E232" s="73">
        <f t="shared" si="3"/>
        <v>684429</v>
      </c>
      <c r="F232" s="17"/>
      <c r="G232" s="15">
        <v>684429</v>
      </c>
    </row>
    <row r="233" spans="1:9" ht="13.5" customHeight="1">
      <c r="A233" s="82"/>
      <c r="B233" s="84" t="s">
        <v>230</v>
      </c>
      <c r="C233" s="75" t="s">
        <v>177</v>
      </c>
      <c r="D233" s="86"/>
      <c r="E233" s="73">
        <f t="shared" si="3"/>
        <v>2851220</v>
      </c>
      <c r="F233" s="17"/>
      <c r="G233" s="17">
        <f>2820300-G234+625100</f>
        <v>2851220</v>
      </c>
    </row>
    <row r="234" spans="1:9" ht="13.5" customHeight="1">
      <c r="A234" s="82"/>
      <c r="B234" s="84"/>
      <c r="C234" s="75" t="s">
        <v>124</v>
      </c>
      <c r="D234" s="86"/>
      <c r="E234" s="73">
        <f t="shared" si="3"/>
        <v>594180</v>
      </c>
      <c r="F234" s="17"/>
      <c r="G234" s="17">
        <f>314500+279680</f>
        <v>594180</v>
      </c>
    </row>
    <row r="235" spans="1:9" s="3" customFormat="1" ht="66" customHeight="1">
      <c r="A235" s="82"/>
      <c r="B235" s="84"/>
      <c r="C235" s="75" t="s">
        <v>231</v>
      </c>
      <c r="D235" s="86"/>
      <c r="E235" s="73">
        <f t="shared" si="3"/>
        <v>1679700</v>
      </c>
      <c r="F235" s="17"/>
      <c r="G235" s="17">
        <f>4500000-2820300</f>
        <v>1679700</v>
      </c>
      <c r="H235" s="62"/>
    </row>
    <row r="236" spans="1:9" s="3" customFormat="1">
      <c r="A236" s="72"/>
      <c r="B236" s="89" t="s">
        <v>95</v>
      </c>
      <c r="C236" s="89"/>
      <c r="D236" s="75"/>
      <c r="E236" s="73">
        <f>SUM(E223:E235)</f>
        <v>10163110</v>
      </c>
      <c r="F236" s="17">
        <f>SUM(F223:F235)</f>
        <v>0</v>
      </c>
      <c r="G236" s="17">
        <f>SUM(G223:G235)</f>
        <v>10163110</v>
      </c>
      <c r="H236" s="62"/>
    </row>
    <row r="237" spans="1:9" s="3" customFormat="1">
      <c r="A237" s="72"/>
      <c r="B237" s="87" t="s">
        <v>174</v>
      </c>
      <c r="C237" s="87"/>
      <c r="D237" s="87"/>
      <c r="E237" s="73">
        <f>F237+G237</f>
        <v>75640</v>
      </c>
      <c r="F237" s="17"/>
      <c r="G237" s="17">
        <f>G227</f>
        <v>75640</v>
      </c>
      <c r="H237" s="62"/>
    </row>
    <row r="238" spans="1:9" s="3" customFormat="1" ht="42.6" customHeight="1">
      <c r="A238" s="82" t="s">
        <v>232</v>
      </c>
      <c r="B238" s="83" t="s">
        <v>233</v>
      </c>
      <c r="C238" s="19" t="s">
        <v>234</v>
      </c>
      <c r="D238" s="91"/>
      <c r="E238" s="73">
        <f>G238</f>
        <v>400000</v>
      </c>
      <c r="F238" s="17"/>
      <c r="G238" s="17">
        <f>400000</f>
        <v>400000</v>
      </c>
      <c r="H238" s="62"/>
    </row>
    <row r="239" spans="1:9" s="3" customFormat="1" ht="16.149999999999999" customHeight="1">
      <c r="A239" s="82"/>
      <c r="B239" s="83"/>
      <c r="C239" s="19" t="s">
        <v>235</v>
      </c>
      <c r="D239" s="91"/>
      <c r="E239" s="73">
        <f t="shared" ref="E239:E247" si="4">G239</f>
        <v>2354900</v>
      </c>
      <c r="F239" s="17"/>
      <c r="G239" s="14">
        <v>2354900</v>
      </c>
      <c r="H239" s="62"/>
    </row>
    <row r="240" spans="1:9" s="3" customFormat="1" ht="25.5">
      <c r="A240" s="82"/>
      <c r="B240" s="83" t="s">
        <v>86</v>
      </c>
      <c r="C240" s="55" t="s">
        <v>303</v>
      </c>
      <c r="D240" s="91"/>
      <c r="E240" s="73">
        <f t="shared" si="4"/>
        <v>1327820</v>
      </c>
      <c r="F240" s="17"/>
      <c r="G240" s="14">
        <v>1327820</v>
      </c>
      <c r="H240" s="62"/>
    </row>
    <row r="241" spans="1:9" s="3" customFormat="1" ht="15">
      <c r="A241" s="82"/>
      <c r="B241" s="83"/>
      <c r="C241" s="19" t="s">
        <v>302</v>
      </c>
      <c r="D241" s="91"/>
      <c r="E241" s="73">
        <f t="shared" si="4"/>
        <v>163311.56</v>
      </c>
      <c r="F241" s="17"/>
      <c r="G241" s="14">
        <f>215507.45-27820-24375.89</f>
        <v>163311.56</v>
      </c>
      <c r="H241" s="62"/>
    </row>
    <row r="242" spans="1:9" s="3" customFormat="1" ht="30.6" customHeight="1">
      <c r="A242" s="82"/>
      <c r="B242" s="83"/>
      <c r="C242" s="19" t="s">
        <v>236</v>
      </c>
      <c r="D242" s="91"/>
      <c r="E242" s="73">
        <f t="shared" si="4"/>
        <v>25000</v>
      </c>
      <c r="F242" s="17"/>
      <c r="G242" s="17">
        <v>25000</v>
      </c>
      <c r="H242" s="62"/>
    </row>
    <row r="243" spans="1:9" s="3" customFormat="1" ht="30.6" customHeight="1">
      <c r="A243" s="82"/>
      <c r="B243" s="83" t="s">
        <v>237</v>
      </c>
      <c r="C243" s="19" t="s">
        <v>238</v>
      </c>
      <c r="D243" s="91"/>
      <c r="E243" s="73">
        <f t="shared" si="4"/>
        <v>455287.55</v>
      </c>
      <c r="F243" s="17"/>
      <c r="G243" s="17">
        <v>455287.55</v>
      </c>
      <c r="H243" s="62"/>
    </row>
    <row r="244" spans="1:9" s="3" customFormat="1" ht="89.25">
      <c r="A244" s="82"/>
      <c r="B244" s="83"/>
      <c r="C244" s="19" t="str">
        <f>C212</f>
        <v>Разработка проектной документации, сметной документации, услуги технического надзора, разработка сметной документации, а также научно-исследовательские работы по обследованию ограждающих конструкций</v>
      </c>
      <c r="D244" s="91"/>
      <c r="E244" s="73">
        <f t="shared" si="4"/>
        <v>50476</v>
      </c>
      <c r="F244" s="17"/>
      <c r="G244" s="17">
        <v>50476</v>
      </c>
      <c r="H244" s="62"/>
    </row>
    <row r="245" spans="1:9" s="3" customFormat="1">
      <c r="A245" s="82"/>
      <c r="B245" s="83"/>
      <c r="C245" s="19" t="s">
        <v>304</v>
      </c>
      <c r="D245" s="91"/>
      <c r="E245" s="73">
        <f t="shared" si="4"/>
        <v>49200</v>
      </c>
      <c r="F245" s="17"/>
      <c r="G245" s="17">
        <v>49200</v>
      </c>
      <c r="H245" s="62"/>
    </row>
    <row r="246" spans="1:9" s="3" customFormat="1">
      <c r="A246" s="82"/>
      <c r="B246" s="83"/>
      <c r="C246" s="19" t="s">
        <v>239</v>
      </c>
      <c r="D246" s="91"/>
      <c r="E246" s="73">
        <f t="shared" si="4"/>
        <v>45430</v>
      </c>
      <c r="F246" s="17"/>
      <c r="G246" s="17">
        <v>45430</v>
      </c>
      <c r="H246" s="62"/>
    </row>
    <row r="247" spans="1:9" s="3" customFormat="1" ht="38.25">
      <c r="A247" s="82"/>
      <c r="B247" s="83"/>
      <c r="C247" s="19" t="s">
        <v>312</v>
      </c>
      <c r="D247" s="91"/>
      <c r="E247" s="73">
        <f t="shared" si="4"/>
        <v>24375.889999999956</v>
      </c>
      <c r="F247" s="17"/>
      <c r="G247" s="17">
        <f>648668.44-G246-G245-G244-G243-G248</f>
        <v>24375.889999999956</v>
      </c>
      <c r="H247" s="62"/>
    </row>
    <row r="248" spans="1:9" s="3" customFormat="1">
      <c r="A248" s="82"/>
      <c r="B248" s="83"/>
      <c r="C248" s="19" t="s">
        <v>240</v>
      </c>
      <c r="D248" s="91"/>
      <c r="E248" s="73">
        <f>G248</f>
        <v>23899</v>
      </c>
      <c r="F248" s="17"/>
      <c r="G248" s="17">
        <v>23899</v>
      </c>
      <c r="H248" s="62"/>
    </row>
    <row r="249" spans="1:9" s="3" customFormat="1">
      <c r="A249" s="72"/>
      <c r="B249" s="89" t="s">
        <v>95</v>
      </c>
      <c r="C249" s="89"/>
      <c r="D249" s="75"/>
      <c r="E249" s="73">
        <f>SUM(E238:E248)</f>
        <v>4919699.9999999991</v>
      </c>
      <c r="F249" s="17">
        <f>SUM(F238:F248)</f>
        <v>0</v>
      </c>
      <c r="G249" s="17">
        <f>SUM(G238:G248)</f>
        <v>4919699.9999999991</v>
      </c>
      <c r="H249" s="62"/>
      <c r="I249" s="63"/>
    </row>
    <row r="250" spans="1:9" s="3" customFormat="1">
      <c r="A250" s="72"/>
      <c r="B250" s="87" t="s">
        <v>174</v>
      </c>
      <c r="C250" s="87"/>
      <c r="D250" s="87"/>
      <c r="E250" s="73">
        <f>F250+G250</f>
        <v>0</v>
      </c>
      <c r="F250" s="17"/>
      <c r="G250" s="17">
        <v>0</v>
      </c>
      <c r="H250" s="62"/>
    </row>
    <row r="251" spans="1:9" s="3" customFormat="1">
      <c r="A251" s="83" t="s">
        <v>241</v>
      </c>
      <c r="B251" s="83"/>
      <c r="C251" s="83"/>
      <c r="D251" s="77"/>
      <c r="E251" s="73">
        <f>E249+E236+E221+E105</f>
        <v>115461500</v>
      </c>
      <c r="F251" s="17">
        <f>F249+F236+F221+F105</f>
        <v>910400</v>
      </c>
      <c r="G251" s="17">
        <f>G249+G236+G221+G105</f>
        <v>114551100</v>
      </c>
      <c r="H251" s="62"/>
    </row>
    <row r="252" spans="1:9" s="3" customFormat="1">
      <c r="A252" s="87" t="s">
        <v>174</v>
      </c>
      <c r="B252" s="87"/>
      <c r="C252" s="87"/>
      <c r="D252" s="87"/>
      <c r="E252" s="73">
        <f>F252+G252</f>
        <v>3450981.43</v>
      </c>
      <c r="F252" s="17">
        <v>0</v>
      </c>
      <c r="G252" s="17">
        <f>G222+G106</f>
        <v>3450981.43</v>
      </c>
      <c r="H252" s="62"/>
    </row>
    <row r="257" spans="4:4">
      <c r="D257" s="67"/>
    </row>
    <row r="258" spans="4:4">
      <c r="D258" s="67"/>
    </row>
    <row r="261" spans="4:4">
      <c r="D261" s="67"/>
    </row>
    <row r="264" spans="4:4">
      <c r="D264" s="67"/>
    </row>
  </sheetData>
  <autoFilter ref="A10:G252"/>
  <mergeCells count="83">
    <mergeCell ref="E1:G5"/>
    <mergeCell ref="B22:B25"/>
    <mergeCell ref="B27:B30"/>
    <mergeCell ref="B32:B34"/>
    <mergeCell ref="B36:B37"/>
    <mergeCell ref="E9:E10"/>
    <mergeCell ref="A7:G7"/>
    <mergeCell ref="E195:E204"/>
    <mergeCell ref="B43:B45"/>
    <mergeCell ref="A9:A10"/>
    <mergeCell ref="B9:B10"/>
    <mergeCell ref="C9:C10"/>
    <mergeCell ref="D9:D10"/>
    <mergeCell ref="D107:D141"/>
    <mergeCell ref="B111:B116"/>
    <mergeCell ref="B117:B120"/>
    <mergeCell ref="B121:B128"/>
    <mergeCell ref="B129:B132"/>
    <mergeCell ref="B236:C236"/>
    <mergeCell ref="A238:A248"/>
    <mergeCell ref="B238:B239"/>
    <mergeCell ref="D238:D248"/>
    <mergeCell ref="B240:B242"/>
    <mergeCell ref="B243:B248"/>
    <mergeCell ref="B237:D237"/>
    <mergeCell ref="B205:B206"/>
    <mergeCell ref="B102:B104"/>
    <mergeCell ref="B50:B51"/>
    <mergeCell ref="D143:D220"/>
    <mergeCell ref="D11:D104"/>
    <mergeCell ref="B149:B150"/>
    <mergeCell ref="B39:B40"/>
    <mergeCell ref="B52:B55"/>
    <mergeCell ref="B84:B86"/>
    <mergeCell ref="B89:B92"/>
    <mergeCell ref="B105:C105"/>
    <mergeCell ref="B46:B47"/>
    <mergeCell ref="B95:B96"/>
    <mergeCell ref="B98:B100"/>
    <mergeCell ref="B82:B83"/>
    <mergeCell ref="B250:D250"/>
    <mergeCell ref="A251:C251"/>
    <mergeCell ref="A252:D252"/>
    <mergeCell ref="A223:A235"/>
    <mergeCell ref="B67:B69"/>
    <mergeCell ref="B71:B76"/>
    <mergeCell ref="B77:B80"/>
    <mergeCell ref="A11:A106"/>
    <mergeCell ref="B11:B13"/>
    <mergeCell ref="B14:B15"/>
    <mergeCell ref="B16:B19"/>
    <mergeCell ref="B20:B21"/>
    <mergeCell ref="B249:C249"/>
    <mergeCell ref="B221:C221"/>
    <mergeCell ref="B195:B204"/>
    <mergeCell ref="B106:D106"/>
    <mergeCell ref="B56:B58"/>
    <mergeCell ref="B59:B60"/>
    <mergeCell ref="B62:B66"/>
    <mergeCell ref="F9:G9"/>
    <mergeCell ref="D223:D235"/>
    <mergeCell ref="B224:B225"/>
    <mergeCell ref="F195:F204"/>
    <mergeCell ref="B222:D222"/>
    <mergeCell ref="B226:B227"/>
    <mergeCell ref="B228:B232"/>
    <mergeCell ref="B233:B235"/>
    <mergeCell ref="G195:G204"/>
    <mergeCell ref="B139:B141"/>
    <mergeCell ref="B142:B148"/>
    <mergeCell ref="B151:B159"/>
    <mergeCell ref="B160:B174"/>
    <mergeCell ref="A107:A222"/>
    <mergeCell ref="B107:B110"/>
    <mergeCell ref="B133:B138"/>
    <mergeCell ref="B207:B213"/>
    <mergeCell ref="B214:B217"/>
    <mergeCell ref="B218:B220"/>
    <mergeCell ref="B175:B177"/>
    <mergeCell ref="B179:B184"/>
    <mergeCell ref="B185:B188"/>
    <mergeCell ref="B189:B190"/>
    <mergeCell ref="B191:B194"/>
  </mergeCells>
  <phoneticPr fontId="8" type="noConversion"/>
  <pageMargins left="0.31496062992125984" right="0.31496062992125984" top="0.35433070866141736" bottom="0.35433070866141736" header="0.11811023622047245" footer="0.11811023622047245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9"/>
  <sheetViews>
    <sheetView tabSelected="1" workbookViewId="0">
      <selection activeCell="H6" sqref="H6"/>
    </sheetView>
  </sheetViews>
  <sheetFormatPr defaultColWidth="9.140625" defaultRowHeight="12.75"/>
  <cols>
    <col min="1" max="1" width="26.7109375" style="1" customWidth="1"/>
    <col min="2" max="2" width="32.5703125" style="2" customWidth="1"/>
    <col min="3" max="3" width="18.85546875" style="3" customWidth="1"/>
    <col min="4" max="4" width="14.85546875" style="8" customWidth="1"/>
    <col min="5" max="5" width="16" style="3" customWidth="1"/>
    <col min="6" max="6" width="16.28515625" style="6" customWidth="1"/>
    <col min="7" max="7" width="17.140625" style="8" customWidth="1"/>
    <col min="8" max="8" width="15.85546875" style="3" customWidth="1"/>
    <col min="9" max="16384" width="9.140625" style="3"/>
  </cols>
  <sheetData>
    <row r="1" spans="1:9" customFormat="1" ht="12.75" customHeight="1">
      <c r="A1" s="27"/>
      <c r="C1" s="28"/>
      <c r="D1" s="98" t="s">
        <v>321</v>
      </c>
      <c r="E1" s="98"/>
      <c r="F1" s="98"/>
      <c r="G1" s="30"/>
      <c r="H1" s="29"/>
      <c r="I1" s="29"/>
    </row>
    <row r="2" spans="1:9" customFormat="1" ht="12.75" customHeight="1">
      <c r="A2" s="27"/>
      <c r="C2" s="28"/>
      <c r="D2" s="98"/>
      <c r="E2" s="98"/>
      <c r="F2" s="98"/>
      <c r="G2" s="30"/>
      <c r="H2" s="29"/>
      <c r="I2" s="29"/>
    </row>
    <row r="3" spans="1:9" customFormat="1" ht="12.75" customHeight="1">
      <c r="A3" s="27"/>
      <c r="C3" s="28"/>
      <c r="D3" s="98"/>
      <c r="E3" s="98"/>
      <c r="F3" s="98"/>
      <c r="G3" s="30"/>
      <c r="H3" s="29"/>
      <c r="I3" s="29"/>
    </row>
    <row r="4" spans="1:9" customFormat="1" ht="12.75" customHeight="1">
      <c r="A4" s="27"/>
      <c r="C4" s="28"/>
      <c r="D4" s="98"/>
      <c r="E4" s="98"/>
      <c r="F4" s="98"/>
      <c r="G4" s="30"/>
      <c r="H4" s="29"/>
      <c r="I4" s="29"/>
    </row>
    <row r="5" spans="1:9" customFormat="1" ht="21" customHeight="1">
      <c r="A5" s="27"/>
      <c r="C5" s="28"/>
      <c r="D5" s="98"/>
      <c r="E5" s="98"/>
      <c r="F5" s="98"/>
      <c r="G5" s="30"/>
      <c r="H5" s="29"/>
      <c r="I5" s="29"/>
    </row>
    <row r="6" spans="1:9" customFormat="1" ht="30.6" customHeight="1">
      <c r="A6" s="27"/>
      <c r="C6" s="28"/>
      <c r="D6" s="98"/>
      <c r="E6" s="98"/>
      <c r="F6" s="98"/>
      <c r="G6" s="30"/>
      <c r="H6" s="29"/>
      <c r="I6" s="29"/>
    </row>
    <row r="7" spans="1:9" customFormat="1" ht="33" customHeight="1">
      <c r="A7" s="27"/>
      <c r="C7" s="28"/>
      <c r="D7" s="98"/>
      <c r="E7" s="98"/>
      <c r="F7" s="98"/>
      <c r="G7" s="30"/>
      <c r="H7" s="29"/>
      <c r="I7" s="29"/>
    </row>
    <row r="8" spans="1:9" customFormat="1" ht="39.75" customHeight="1">
      <c r="A8" s="97" t="s">
        <v>255</v>
      </c>
      <c r="B8" s="97"/>
      <c r="C8" s="97"/>
      <c r="D8" s="97"/>
      <c r="E8" s="97"/>
      <c r="F8" s="97"/>
      <c r="G8" s="31"/>
      <c r="H8" s="29"/>
      <c r="I8" s="29"/>
    </row>
    <row r="9" spans="1:9" ht="12.75" customHeight="1">
      <c r="A9" s="32"/>
      <c r="B9" s="33"/>
      <c r="C9" s="29"/>
      <c r="D9" s="98"/>
      <c r="E9" s="98"/>
      <c r="F9" s="98"/>
    </row>
    <row r="10" spans="1:9" ht="12" customHeight="1">
      <c r="A10" s="32"/>
      <c r="B10" s="34"/>
      <c r="C10" s="35"/>
      <c r="D10" s="36"/>
      <c r="E10" s="35"/>
      <c r="F10" s="37" t="s">
        <v>319</v>
      </c>
    </row>
    <row r="11" spans="1:9">
      <c r="A11" s="108" t="s">
        <v>0</v>
      </c>
      <c r="B11" s="114" t="s">
        <v>1</v>
      </c>
      <c r="C11" s="108" t="s">
        <v>2</v>
      </c>
      <c r="D11" s="116" t="s">
        <v>3</v>
      </c>
      <c r="E11" s="118" t="s">
        <v>4</v>
      </c>
      <c r="F11" s="119"/>
    </row>
    <row r="12" spans="1:9" ht="38.25">
      <c r="A12" s="110"/>
      <c r="B12" s="115"/>
      <c r="C12" s="110"/>
      <c r="D12" s="117"/>
      <c r="E12" s="38" t="s">
        <v>5</v>
      </c>
      <c r="F12" s="24" t="s">
        <v>6</v>
      </c>
    </row>
    <row r="13" spans="1:9" ht="25.5">
      <c r="A13" s="101" t="s">
        <v>7</v>
      </c>
      <c r="B13" s="49" t="s">
        <v>8</v>
      </c>
      <c r="C13" s="108" t="s">
        <v>9</v>
      </c>
      <c r="D13" s="40">
        <f t="shared" ref="D13:D60" si="0">E13+F13</f>
        <v>52000</v>
      </c>
      <c r="E13" s="41">
        <v>0</v>
      </c>
      <c r="F13" s="23">
        <v>52000</v>
      </c>
    </row>
    <row r="14" spans="1:9">
      <c r="A14" s="102"/>
      <c r="B14" s="49" t="s">
        <v>61</v>
      </c>
      <c r="C14" s="109"/>
      <c r="D14" s="40">
        <f t="shared" si="0"/>
        <v>333407</v>
      </c>
      <c r="E14" s="41"/>
      <c r="F14" s="23">
        <v>333407</v>
      </c>
    </row>
    <row r="15" spans="1:9" ht="25.5">
      <c r="A15" s="103"/>
      <c r="B15" s="49" t="s">
        <v>16</v>
      </c>
      <c r="C15" s="109"/>
      <c r="D15" s="40">
        <f t="shared" si="0"/>
        <v>319523</v>
      </c>
      <c r="E15" s="41"/>
      <c r="F15" s="23">
        <v>319523</v>
      </c>
    </row>
    <row r="16" spans="1:9" ht="25.5">
      <c r="A16" s="42" t="s">
        <v>10</v>
      </c>
      <c r="B16" s="49" t="s">
        <v>249</v>
      </c>
      <c r="C16" s="109"/>
      <c r="D16" s="40">
        <f t="shared" si="0"/>
        <v>58500</v>
      </c>
      <c r="E16" s="41">
        <v>0</v>
      </c>
      <c r="F16" s="23">
        <v>58500</v>
      </c>
    </row>
    <row r="17" spans="1:6" ht="25.5">
      <c r="A17" s="42" t="s">
        <v>12</v>
      </c>
      <c r="B17" s="49" t="str">
        <f>B23</f>
        <v>Монтаж системы контроля доступа</v>
      </c>
      <c r="C17" s="109"/>
      <c r="D17" s="40">
        <f t="shared" si="0"/>
        <v>33886</v>
      </c>
      <c r="E17" s="41">
        <v>0</v>
      </c>
      <c r="F17" s="23">
        <v>33886</v>
      </c>
    </row>
    <row r="18" spans="1:6" ht="25.5">
      <c r="A18" s="42" t="s">
        <v>13</v>
      </c>
      <c r="B18" s="49" t="str">
        <f>B27</f>
        <v>Монтаж системы контроля доступа</v>
      </c>
      <c r="C18" s="109"/>
      <c r="D18" s="40">
        <f t="shared" si="0"/>
        <v>162450</v>
      </c>
      <c r="E18" s="41">
        <v>0</v>
      </c>
      <c r="F18" s="23">
        <v>162450</v>
      </c>
    </row>
    <row r="19" spans="1:6">
      <c r="A19" s="101" t="s">
        <v>14</v>
      </c>
      <c r="B19" s="49" t="s">
        <v>15</v>
      </c>
      <c r="C19" s="109"/>
      <c r="D19" s="40">
        <f t="shared" si="0"/>
        <v>162136</v>
      </c>
      <c r="E19" s="41">
        <v>0</v>
      </c>
      <c r="F19" s="23">
        <v>162136</v>
      </c>
    </row>
    <row r="20" spans="1:6" ht="25.5">
      <c r="A20" s="103"/>
      <c r="B20" s="49" t="s">
        <v>16</v>
      </c>
      <c r="C20" s="109"/>
      <c r="D20" s="40">
        <f t="shared" si="0"/>
        <v>270000</v>
      </c>
      <c r="E20" s="41">
        <v>0</v>
      </c>
      <c r="F20" s="23">
        <v>270000</v>
      </c>
    </row>
    <row r="21" spans="1:6" ht="25.5">
      <c r="A21" s="42" t="s">
        <v>17</v>
      </c>
      <c r="B21" s="49" t="s">
        <v>16</v>
      </c>
      <c r="C21" s="109"/>
      <c r="D21" s="40">
        <f t="shared" si="0"/>
        <v>320000</v>
      </c>
      <c r="E21" s="41">
        <v>0</v>
      </c>
      <c r="F21" s="23">
        <v>320000</v>
      </c>
    </row>
    <row r="22" spans="1:6" ht="25.5">
      <c r="A22" s="101" t="s">
        <v>18</v>
      </c>
      <c r="B22" s="49" t="s">
        <v>16</v>
      </c>
      <c r="C22" s="109"/>
      <c r="D22" s="40">
        <f t="shared" si="0"/>
        <v>270000</v>
      </c>
      <c r="E22" s="41">
        <v>0</v>
      </c>
      <c r="F22" s="25">
        <v>270000</v>
      </c>
    </row>
    <row r="23" spans="1:6">
      <c r="A23" s="103"/>
      <c r="B23" s="49" t="s">
        <v>15</v>
      </c>
      <c r="C23" s="109"/>
      <c r="D23" s="40">
        <f t="shared" si="0"/>
        <v>50000</v>
      </c>
      <c r="E23" s="41">
        <v>0</v>
      </c>
      <c r="F23" s="25">
        <v>50000</v>
      </c>
    </row>
    <row r="24" spans="1:6">
      <c r="A24" s="39" t="s">
        <v>19</v>
      </c>
      <c r="B24" s="49" t="s">
        <v>15</v>
      </c>
      <c r="C24" s="109"/>
      <c r="D24" s="40">
        <f t="shared" si="0"/>
        <v>156600</v>
      </c>
      <c r="E24" s="41">
        <v>0</v>
      </c>
      <c r="F24" s="25">
        <f>51600+105000</f>
        <v>156600</v>
      </c>
    </row>
    <row r="25" spans="1:6">
      <c r="A25" s="101" t="s">
        <v>20</v>
      </c>
      <c r="B25" s="49" t="s">
        <v>15</v>
      </c>
      <c r="C25" s="109"/>
      <c r="D25" s="40">
        <f t="shared" si="0"/>
        <v>73850</v>
      </c>
      <c r="E25" s="41">
        <v>0</v>
      </c>
      <c r="F25" s="25">
        <v>73850</v>
      </c>
    </row>
    <row r="26" spans="1:6" ht="25.5">
      <c r="A26" s="103"/>
      <c r="B26" s="49" t="s">
        <v>16</v>
      </c>
      <c r="C26" s="109"/>
      <c r="D26" s="40">
        <f t="shared" si="0"/>
        <v>300000</v>
      </c>
      <c r="E26" s="41">
        <v>0</v>
      </c>
      <c r="F26" s="25">
        <v>300000</v>
      </c>
    </row>
    <row r="27" spans="1:6">
      <c r="A27" s="39" t="s">
        <v>21</v>
      </c>
      <c r="B27" s="49" t="str">
        <f>B23</f>
        <v>Монтаж системы контроля доступа</v>
      </c>
      <c r="C27" s="109"/>
      <c r="D27" s="40">
        <f t="shared" si="0"/>
        <v>104150</v>
      </c>
      <c r="E27" s="41">
        <v>0</v>
      </c>
      <c r="F27" s="25">
        <v>104150</v>
      </c>
    </row>
    <row r="28" spans="1:6" ht="25.5">
      <c r="A28" s="101" t="s">
        <v>22</v>
      </c>
      <c r="B28" s="49" t="str">
        <f>B13</f>
        <v>Установка стационарной тревожной кнопки</v>
      </c>
      <c r="C28" s="109"/>
      <c r="D28" s="40">
        <f t="shared" si="0"/>
        <v>26166.9</v>
      </c>
      <c r="E28" s="41">
        <v>0</v>
      </c>
      <c r="F28" s="25">
        <v>26166.9</v>
      </c>
    </row>
    <row r="29" spans="1:6">
      <c r="A29" s="103"/>
      <c r="B29" s="49" t="s">
        <v>23</v>
      </c>
      <c r="C29" s="109"/>
      <c r="D29" s="40">
        <f t="shared" si="0"/>
        <v>270000</v>
      </c>
      <c r="E29" s="41">
        <v>0</v>
      </c>
      <c r="F29" s="25">
        <v>270000</v>
      </c>
    </row>
    <row r="30" spans="1:6">
      <c r="A30" s="39" t="s">
        <v>24</v>
      </c>
      <c r="B30" s="49" t="s">
        <v>25</v>
      </c>
      <c r="C30" s="109"/>
      <c r="D30" s="40">
        <f t="shared" si="0"/>
        <v>23877.53</v>
      </c>
      <c r="E30" s="41">
        <v>0</v>
      </c>
      <c r="F30" s="25">
        <v>23877.53</v>
      </c>
    </row>
    <row r="31" spans="1:6" ht="25.5">
      <c r="A31" s="101" t="s">
        <v>26</v>
      </c>
      <c r="B31" s="49" t="s">
        <v>8</v>
      </c>
      <c r="C31" s="109"/>
      <c r="D31" s="40">
        <f t="shared" si="0"/>
        <v>54154.8</v>
      </c>
      <c r="E31" s="41">
        <v>0</v>
      </c>
      <c r="F31" s="25">
        <v>54154.8</v>
      </c>
    </row>
    <row r="32" spans="1:6">
      <c r="A32" s="102"/>
      <c r="B32" s="49" t="s">
        <v>23</v>
      </c>
      <c r="C32" s="109"/>
      <c r="D32" s="40">
        <f t="shared" si="0"/>
        <v>296000</v>
      </c>
      <c r="E32" s="41"/>
      <c r="F32" s="25">
        <v>296000</v>
      </c>
    </row>
    <row r="33" spans="1:6">
      <c r="A33" s="102"/>
      <c r="B33" s="49" t="s">
        <v>281</v>
      </c>
      <c r="C33" s="109"/>
      <c r="D33" s="40">
        <f t="shared" si="0"/>
        <v>104272.91</v>
      </c>
      <c r="E33" s="41"/>
      <c r="F33" s="25">
        <v>104272.91</v>
      </c>
    </row>
    <row r="34" spans="1:6">
      <c r="A34" s="103"/>
      <c r="B34" s="49" t="str">
        <f>B39</f>
        <v>Монтаж системы контроля доступа</v>
      </c>
      <c r="C34" s="109"/>
      <c r="D34" s="40">
        <v>213500</v>
      </c>
      <c r="E34" s="41">
        <v>0</v>
      </c>
      <c r="F34" s="25">
        <v>213500</v>
      </c>
    </row>
    <row r="35" spans="1:6" ht="25.5">
      <c r="A35" s="42" t="s">
        <v>27</v>
      </c>
      <c r="B35" s="49" t="str">
        <f>B39</f>
        <v>Монтаж системы контроля доступа</v>
      </c>
      <c r="C35" s="109"/>
      <c r="D35" s="40">
        <f>E35+F35</f>
        <v>164898</v>
      </c>
      <c r="E35" s="41">
        <v>0</v>
      </c>
      <c r="F35" s="25">
        <v>164898</v>
      </c>
    </row>
    <row r="36" spans="1:6">
      <c r="A36" s="101" t="s">
        <v>28</v>
      </c>
      <c r="B36" s="49" t="str">
        <f>B39</f>
        <v>Монтаж системы контроля доступа</v>
      </c>
      <c r="C36" s="109"/>
      <c r="D36" s="40">
        <f>E36+F36</f>
        <v>160232</v>
      </c>
      <c r="E36" s="41">
        <v>0</v>
      </c>
      <c r="F36" s="25">
        <v>160232</v>
      </c>
    </row>
    <row r="37" spans="1:6">
      <c r="A37" s="102"/>
      <c r="B37" s="49" t="s">
        <v>29</v>
      </c>
      <c r="C37" s="109"/>
      <c r="D37" s="40">
        <f>E37+F37</f>
        <v>90000</v>
      </c>
      <c r="E37" s="41">
        <v>0</v>
      </c>
      <c r="F37" s="25">
        <v>90000</v>
      </c>
    </row>
    <row r="38" spans="1:6">
      <c r="A38" s="103"/>
      <c r="B38" s="49" t="s">
        <v>23</v>
      </c>
      <c r="C38" s="109"/>
      <c r="D38" s="40">
        <f>E38+F38</f>
        <v>270000</v>
      </c>
      <c r="E38" s="41">
        <v>0</v>
      </c>
      <c r="F38" s="25">
        <v>270000</v>
      </c>
    </row>
    <row r="39" spans="1:6" ht="25.5">
      <c r="A39" s="42" t="s">
        <v>30</v>
      </c>
      <c r="B39" s="49" t="str">
        <f>B40</f>
        <v>Монтаж системы контроля доступа</v>
      </c>
      <c r="C39" s="109"/>
      <c r="D39" s="40">
        <f t="shared" si="0"/>
        <v>122000</v>
      </c>
      <c r="E39" s="41">
        <v>0</v>
      </c>
      <c r="F39" s="25">
        <v>122000</v>
      </c>
    </row>
    <row r="40" spans="1:6">
      <c r="A40" s="101" t="s">
        <v>31</v>
      </c>
      <c r="B40" s="49" t="s">
        <v>15</v>
      </c>
      <c r="C40" s="109"/>
      <c r="D40" s="40">
        <f t="shared" si="0"/>
        <v>88000</v>
      </c>
      <c r="E40" s="41">
        <v>0</v>
      </c>
      <c r="F40" s="40">
        <v>88000</v>
      </c>
    </row>
    <row r="41" spans="1:6">
      <c r="A41" s="103"/>
      <c r="B41" s="49" t="s">
        <v>23</v>
      </c>
      <c r="C41" s="109"/>
      <c r="D41" s="40">
        <f t="shared" si="0"/>
        <v>550000</v>
      </c>
      <c r="E41" s="41">
        <v>0</v>
      </c>
      <c r="F41" s="40">
        <v>550000</v>
      </c>
    </row>
    <row r="42" spans="1:6">
      <c r="A42" s="42" t="s">
        <v>32</v>
      </c>
      <c r="B42" s="49" t="s">
        <v>15</v>
      </c>
      <c r="C42" s="109"/>
      <c r="D42" s="40">
        <f t="shared" si="0"/>
        <v>298000</v>
      </c>
      <c r="E42" s="41">
        <v>0</v>
      </c>
      <c r="F42" s="40">
        <v>298000</v>
      </c>
    </row>
    <row r="43" spans="1:6">
      <c r="A43" s="42" t="s">
        <v>33</v>
      </c>
      <c r="B43" s="49" t="s">
        <v>15</v>
      </c>
      <c r="C43" s="109"/>
      <c r="D43" s="40">
        <f t="shared" si="0"/>
        <v>118560</v>
      </c>
      <c r="E43" s="41">
        <v>0</v>
      </c>
      <c r="F43" s="40">
        <v>118560</v>
      </c>
    </row>
    <row r="44" spans="1:6">
      <c r="A44" s="42" t="s">
        <v>34</v>
      </c>
      <c r="B44" s="49" t="s">
        <v>23</v>
      </c>
      <c r="C44" s="109"/>
      <c r="D44" s="40">
        <f t="shared" si="0"/>
        <v>316536.94</v>
      </c>
      <c r="E44" s="41"/>
      <c r="F44" s="40">
        <f>320000-3463.06</f>
        <v>316536.94</v>
      </c>
    </row>
    <row r="45" spans="1:6">
      <c r="A45" s="101" t="s">
        <v>267</v>
      </c>
      <c r="B45" s="49" t="s">
        <v>23</v>
      </c>
      <c r="C45" s="109"/>
      <c r="D45" s="40">
        <f t="shared" si="0"/>
        <v>198300</v>
      </c>
      <c r="E45" s="41"/>
      <c r="F45" s="40">
        <v>198300</v>
      </c>
    </row>
    <row r="46" spans="1:6">
      <c r="A46" s="102"/>
      <c r="B46" s="49" t="s">
        <v>249</v>
      </c>
      <c r="C46" s="109"/>
      <c r="D46" s="40">
        <f t="shared" si="0"/>
        <v>112095.4</v>
      </c>
      <c r="E46" s="41"/>
      <c r="F46" s="40">
        <f>252270.25-150000+9825.15</f>
        <v>112095.4</v>
      </c>
    </row>
    <row r="47" spans="1:6">
      <c r="A47" s="103"/>
      <c r="B47" s="49" t="s">
        <v>15</v>
      </c>
      <c r="C47" s="109"/>
      <c r="D47" s="40">
        <f t="shared" si="0"/>
        <v>150000</v>
      </c>
      <c r="E47" s="41"/>
      <c r="F47" s="40">
        <v>150000</v>
      </c>
    </row>
    <row r="48" spans="1:6">
      <c r="A48" s="101" t="s">
        <v>35</v>
      </c>
      <c r="B48" s="49" t="s">
        <v>23</v>
      </c>
      <c r="C48" s="109"/>
      <c r="D48" s="40">
        <f t="shared" si="0"/>
        <v>182598.21</v>
      </c>
      <c r="E48" s="41">
        <v>0</v>
      </c>
      <c r="F48" s="40">
        <v>182598.21</v>
      </c>
    </row>
    <row r="49" spans="1:6">
      <c r="A49" s="103"/>
      <c r="B49" s="49" t="s">
        <v>15</v>
      </c>
      <c r="C49" s="109"/>
      <c r="D49" s="40">
        <f t="shared" si="0"/>
        <v>80300</v>
      </c>
      <c r="E49" s="41">
        <v>0</v>
      </c>
      <c r="F49" s="40">
        <v>80300</v>
      </c>
    </row>
    <row r="50" spans="1:6">
      <c r="A50" s="42" t="s">
        <v>36</v>
      </c>
      <c r="B50" s="49" t="s">
        <v>15</v>
      </c>
      <c r="C50" s="109"/>
      <c r="D50" s="40">
        <f t="shared" si="0"/>
        <v>153720</v>
      </c>
      <c r="E50" s="41">
        <v>0</v>
      </c>
      <c r="F50" s="40">
        <v>153720</v>
      </c>
    </row>
    <row r="51" spans="1:6" ht="25.5">
      <c r="A51" s="39" t="s">
        <v>37</v>
      </c>
      <c r="B51" s="49" t="s">
        <v>16</v>
      </c>
      <c r="C51" s="109"/>
      <c r="D51" s="40">
        <v>132669.29999999999</v>
      </c>
      <c r="E51" s="41">
        <v>0</v>
      </c>
      <c r="F51" s="40">
        <v>132669.29999999999</v>
      </c>
    </row>
    <row r="52" spans="1:6" ht="25.5">
      <c r="A52" s="39" t="s">
        <v>38</v>
      </c>
      <c r="B52" s="49" t="s">
        <v>39</v>
      </c>
      <c r="C52" s="109"/>
      <c r="D52" s="40">
        <f t="shared" si="0"/>
        <v>787710</v>
      </c>
      <c r="E52" s="41">
        <v>0</v>
      </c>
      <c r="F52" s="40">
        <v>787710</v>
      </c>
    </row>
    <row r="53" spans="1:6">
      <c r="A53" s="101" t="s">
        <v>40</v>
      </c>
      <c r="B53" s="49" t="s">
        <v>41</v>
      </c>
      <c r="C53" s="109"/>
      <c r="D53" s="40">
        <f t="shared" si="0"/>
        <v>2119795</v>
      </c>
      <c r="E53" s="41">
        <v>0</v>
      </c>
      <c r="F53" s="40">
        <v>2119795</v>
      </c>
    </row>
    <row r="54" spans="1:6" ht="25.5" customHeight="1">
      <c r="A54" s="102"/>
      <c r="B54" s="49" t="str">
        <f>B70</f>
        <v>Монтаж дополнительных камер, системы охранного телевидения на въездные ворота</v>
      </c>
      <c r="C54" s="109"/>
      <c r="D54" s="40">
        <f t="shared" si="0"/>
        <v>28700</v>
      </c>
      <c r="E54" s="41">
        <v>0</v>
      </c>
      <c r="F54" s="40">
        <v>28700</v>
      </c>
    </row>
    <row r="55" spans="1:6" ht="25.5" customHeight="1">
      <c r="A55" s="102"/>
      <c r="B55" s="49" t="str">
        <f>B22</f>
        <v>Монтаж системы экстренного оповещения</v>
      </c>
      <c r="C55" s="109"/>
      <c r="D55" s="40">
        <f t="shared" si="0"/>
        <v>270000</v>
      </c>
      <c r="E55" s="41">
        <v>0</v>
      </c>
      <c r="F55" s="40">
        <v>270000</v>
      </c>
    </row>
    <row r="56" spans="1:6" ht="51">
      <c r="A56" s="103"/>
      <c r="B56" s="49" t="s">
        <v>200</v>
      </c>
      <c r="C56" s="109"/>
      <c r="D56" s="40">
        <f t="shared" si="0"/>
        <v>31008.6</v>
      </c>
      <c r="E56" s="41">
        <v>0</v>
      </c>
      <c r="F56" s="40">
        <v>31008.6</v>
      </c>
    </row>
    <row r="57" spans="1:6">
      <c r="A57" s="101" t="s">
        <v>42</v>
      </c>
      <c r="B57" s="49" t="s">
        <v>11</v>
      </c>
      <c r="C57" s="109"/>
      <c r="D57" s="40">
        <f t="shared" si="0"/>
        <v>39000</v>
      </c>
      <c r="E57" s="41">
        <v>0</v>
      </c>
      <c r="F57" s="40">
        <v>39000</v>
      </c>
    </row>
    <row r="58" spans="1:6" ht="25.5">
      <c r="A58" s="102"/>
      <c r="B58" s="49" t="s">
        <v>16</v>
      </c>
      <c r="C58" s="109"/>
      <c r="D58" s="40">
        <f t="shared" si="0"/>
        <v>298619</v>
      </c>
      <c r="E58" s="41">
        <v>0</v>
      </c>
      <c r="F58" s="40">
        <v>298619</v>
      </c>
    </row>
    <row r="59" spans="1:6">
      <c r="A59" s="103"/>
      <c r="B59" s="49" t="s">
        <v>15</v>
      </c>
      <c r="C59" s="109"/>
      <c r="D59" s="40">
        <f t="shared" si="0"/>
        <v>145990</v>
      </c>
      <c r="E59" s="41">
        <v>0</v>
      </c>
      <c r="F59" s="40">
        <v>145990</v>
      </c>
    </row>
    <row r="60" spans="1:6">
      <c r="A60" s="101" t="s">
        <v>43</v>
      </c>
      <c r="B60" s="49" t="s">
        <v>23</v>
      </c>
      <c r="C60" s="109"/>
      <c r="D60" s="40">
        <f t="shared" si="0"/>
        <v>270000</v>
      </c>
      <c r="E60" s="41">
        <v>0</v>
      </c>
      <c r="F60" s="40">
        <v>270000</v>
      </c>
    </row>
    <row r="61" spans="1:6" ht="38.25">
      <c r="A61" s="103"/>
      <c r="B61" s="49" t="s">
        <v>44</v>
      </c>
      <c r="C61" s="109"/>
      <c r="D61" s="40">
        <f>F61</f>
        <v>80300</v>
      </c>
      <c r="E61" s="41">
        <v>0</v>
      </c>
      <c r="F61" s="40">
        <v>80300</v>
      </c>
    </row>
    <row r="62" spans="1:6" ht="25.5">
      <c r="A62" s="39" t="s">
        <v>45</v>
      </c>
      <c r="B62" s="49" t="s">
        <v>8</v>
      </c>
      <c r="C62" s="109"/>
      <c r="D62" s="40">
        <f t="shared" ref="D62:D119" si="1">F62</f>
        <v>26000</v>
      </c>
      <c r="E62" s="41">
        <v>0</v>
      </c>
      <c r="F62" s="40">
        <v>26000</v>
      </c>
    </row>
    <row r="63" spans="1:6" ht="25.5">
      <c r="A63" s="39" t="s">
        <v>46</v>
      </c>
      <c r="B63" s="49" t="s">
        <v>15</v>
      </c>
      <c r="C63" s="109"/>
      <c r="D63" s="40">
        <f t="shared" si="1"/>
        <v>80600</v>
      </c>
      <c r="E63" s="41">
        <v>0</v>
      </c>
      <c r="F63" s="40">
        <v>80600</v>
      </c>
    </row>
    <row r="64" spans="1:6" ht="25.5">
      <c r="A64" s="39" t="s">
        <v>47</v>
      </c>
      <c r="B64" s="49" t="s">
        <v>15</v>
      </c>
      <c r="C64" s="109"/>
      <c r="D64" s="40">
        <f t="shared" si="1"/>
        <v>28000</v>
      </c>
      <c r="E64" s="41">
        <v>0</v>
      </c>
      <c r="F64" s="40">
        <v>28000</v>
      </c>
    </row>
    <row r="65" spans="1:6" ht="38.25">
      <c r="A65" s="39" t="s">
        <v>48</v>
      </c>
      <c r="B65" s="49" t="s">
        <v>39</v>
      </c>
      <c r="C65" s="109"/>
      <c r="D65" s="40">
        <f t="shared" si="1"/>
        <v>859560</v>
      </c>
      <c r="E65" s="41">
        <v>0</v>
      </c>
      <c r="F65" s="40">
        <v>859560</v>
      </c>
    </row>
    <row r="66" spans="1:6" ht="51">
      <c r="A66" s="101" t="s">
        <v>49</v>
      </c>
      <c r="B66" s="50" t="str">
        <f>B103</f>
        <v>Монтаж охранной сигнализации, дооборудование системы видеонаблюдения, в том числе строительный контроль</v>
      </c>
      <c r="C66" s="109"/>
      <c r="D66" s="40">
        <f t="shared" si="1"/>
        <v>676106</v>
      </c>
      <c r="E66" s="41">
        <v>0</v>
      </c>
      <c r="F66" s="43">
        <f>646700+29406</f>
        <v>676106</v>
      </c>
    </row>
    <row r="67" spans="1:6" ht="25.5">
      <c r="A67" s="103"/>
      <c r="B67" s="50" t="s">
        <v>39</v>
      </c>
      <c r="C67" s="109"/>
      <c r="D67" s="40">
        <f t="shared" si="1"/>
        <v>772861</v>
      </c>
      <c r="E67" s="41">
        <v>0</v>
      </c>
      <c r="F67" s="40">
        <v>772861</v>
      </c>
    </row>
    <row r="68" spans="1:6" ht="25.5">
      <c r="A68" s="101" t="s">
        <v>50</v>
      </c>
      <c r="B68" s="50" t="str">
        <f>B62</f>
        <v>Установка стационарной тревожной кнопки</v>
      </c>
      <c r="C68" s="109"/>
      <c r="D68" s="40">
        <f t="shared" si="1"/>
        <v>39000</v>
      </c>
      <c r="E68" s="41">
        <v>0</v>
      </c>
      <c r="F68" s="40">
        <v>39000</v>
      </c>
    </row>
    <row r="69" spans="1:6" ht="51">
      <c r="A69" s="102"/>
      <c r="B69" s="50" t="str">
        <f>B103</f>
        <v>Монтаж охранной сигнализации, дооборудование системы видеонаблюдения, в том числе строительный контроль</v>
      </c>
      <c r="C69" s="109"/>
      <c r="D69" s="40">
        <f t="shared" si="1"/>
        <v>735408</v>
      </c>
      <c r="E69" s="41">
        <v>0</v>
      </c>
      <c r="F69" s="40">
        <f>720000+15408</f>
        <v>735408</v>
      </c>
    </row>
    <row r="70" spans="1:6" ht="38.25">
      <c r="A70" s="103"/>
      <c r="B70" s="50" t="s">
        <v>51</v>
      </c>
      <c r="C70" s="109"/>
      <c r="D70" s="40">
        <f t="shared" si="1"/>
        <v>78087.179999999993</v>
      </c>
      <c r="E70" s="41">
        <v>0</v>
      </c>
      <c r="F70" s="40">
        <v>78087.179999999993</v>
      </c>
    </row>
    <row r="71" spans="1:6" ht="25.5">
      <c r="A71" s="101" t="s">
        <v>52</v>
      </c>
      <c r="B71" s="50" t="s">
        <v>39</v>
      </c>
      <c r="C71" s="109"/>
      <c r="D71" s="40">
        <f t="shared" si="1"/>
        <v>745846.15</v>
      </c>
      <c r="E71" s="41">
        <v>0</v>
      </c>
      <c r="F71" s="40">
        <v>745846.15</v>
      </c>
    </row>
    <row r="72" spans="1:6">
      <c r="A72" s="102"/>
      <c r="B72" s="50" t="s">
        <v>53</v>
      </c>
      <c r="C72" s="109"/>
      <c r="D72" s="40">
        <f t="shared" si="1"/>
        <v>139747.32</v>
      </c>
      <c r="E72" s="41">
        <v>0</v>
      </c>
      <c r="F72" s="40">
        <v>139747.32</v>
      </c>
    </row>
    <row r="73" spans="1:6">
      <c r="A73" s="102"/>
      <c r="B73" s="50" t="s">
        <v>54</v>
      </c>
      <c r="C73" s="109"/>
      <c r="D73" s="40">
        <f t="shared" si="1"/>
        <v>448483</v>
      </c>
      <c r="E73" s="41">
        <v>0</v>
      </c>
      <c r="F73" s="40">
        <v>448483</v>
      </c>
    </row>
    <row r="74" spans="1:6" ht="25.5">
      <c r="A74" s="103"/>
      <c r="B74" s="50" t="s">
        <v>55</v>
      </c>
      <c r="C74" s="109"/>
      <c r="D74" s="40">
        <f t="shared" si="1"/>
        <v>76732</v>
      </c>
      <c r="E74" s="41">
        <v>0</v>
      </c>
      <c r="F74" s="40">
        <v>76732</v>
      </c>
    </row>
    <row r="75" spans="1:6" ht="25.5">
      <c r="A75" s="39" t="s">
        <v>56</v>
      </c>
      <c r="B75" s="50" t="s">
        <v>39</v>
      </c>
      <c r="C75" s="109"/>
      <c r="D75" s="40">
        <f t="shared" si="1"/>
        <v>558251.10000000009</v>
      </c>
      <c r="E75" s="41">
        <v>0</v>
      </c>
      <c r="F75" s="40">
        <v>558251.10000000009</v>
      </c>
    </row>
    <row r="76" spans="1:6" ht="25.5">
      <c r="A76" s="101" t="s">
        <v>57</v>
      </c>
      <c r="B76" s="50" t="s">
        <v>39</v>
      </c>
      <c r="C76" s="109"/>
      <c r="D76" s="40">
        <f t="shared" si="1"/>
        <v>872879.6</v>
      </c>
      <c r="E76" s="41">
        <v>0</v>
      </c>
      <c r="F76" s="40">
        <v>872879.6</v>
      </c>
    </row>
    <row r="77" spans="1:6">
      <c r="A77" s="102"/>
      <c r="B77" s="50" t="s">
        <v>58</v>
      </c>
      <c r="C77" s="109"/>
      <c r="D77" s="40">
        <f t="shared" si="1"/>
        <v>67680</v>
      </c>
      <c r="E77" s="41">
        <v>0</v>
      </c>
      <c r="F77" s="40">
        <v>67680</v>
      </c>
    </row>
    <row r="78" spans="1:6">
      <c r="A78" s="103"/>
      <c r="B78" s="50" t="s">
        <v>23</v>
      </c>
      <c r="C78" s="109"/>
      <c r="D78" s="40">
        <f t="shared" si="1"/>
        <v>239000</v>
      </c>
      <c r="E78" s="41">
        <v>0</v>
      </c>
      <c r="F78" s="40">
        <v>239000</v>
      </c>
    </row>
    <row r="79" spans="1:6" ht="25.5">
      <c r="A79" s="39" t="s">
        <v>59</v>
      </c>
      <c r="B79" s="50" t="s">
        <v>39</v>
      </c>
      <c r="C79" s="109"/>
      <c r="D79" s="40">
        <f t="shared" si="1"/>
        <v>378900</v>
      </c>
      <c r="E79" s="41">
        <v>0</v>
      </c>
      <c r="F79" s="40">
        <v>378900</v>
      </c>
    </row>
    <row r="80" spans="1:6" ht="25.5">
      <c r="A80" s="101" t="s">
        <v>60</v>
      </c>
      <c r="B80" s="50" t="s">
        <v>39</v>
      </c>
      <c r="C80" s="109"/>
      <c r="D80" s="40">
        <f t="shared" si="1"/>
        <v>533000</v>
      </c>
      <c r="E80" s="41">
        <v>0</v>
      </c>
      <c r="F80" s="40">
        <v>533000</v>
      </c>
    </row>
    <row r="81" spans="1:6">
      <c r="A81" s="102"/>
      <c r="B81" s="51" t="s">
        <v>61</v>
      </c>
      <c r="C81" s="109"/>
      <c r="D81" s="40">
        <f t="shared" si="1"/>
        <v>350000</v>
      </c>
      <c r="E81" s="41">
        <v>0</v>
      </c>
      <c r="F81" s="40">
        <v>350000</v>
      </c>
    </row>
    <row r="82" spans="1:6" ht="25.5">
      <c r="A82" s="103"/>
      <c r="B82" s="50" t="str">
        <f>B74</f>
        <v>Монтаж системы контроля управления доступом</v>
      </c>
      <c r="C82" s="109"/>
      <c r="D82" s="40">
        <f t="shared" si="1"/>
        <v>45700</v>
      </c>
      <c r="E82" s="41">
        <v>0</v>
      </c>
      <c r="F82" s="40">
        <v>45700</v>
      </c>
    </row>
    <row r="83" spans="1:6" ht="25.5">
      <c r="A83" s="101" t="s">
        <v>62</v>
      </c>
      <c r="B83" s="50" t="s">
        <v>39</v>
      </c>
      <c r="C83" s="109"/>
      <c r="D83" s="40">
        <f t="shared" si="1"/>
        <v>378400</v>
      </c>
      <c r="E83" s="41">
        <v>0</v>
      </c>
      <c r="F83" s="40">
        <v>378400</v>
      </c>
    </row>
    <row r="84" spans="1:6">
      <c r="A84" s="103"/>
      <c r="B84" s="50" t="s">
        <v>25</v>
      </c>
      <c r="C84" s="109"/>
      <c r="D84" s="40">
        <f t="shared" si="1"/>
        <v>28912.84</v>
      </c>
      <c r="E84" s="41"/>
      <c r="F84" s="40">
        <v>28912.84</v>
      </c>
    </row>
    <row r="85" spans="1:6">
      <c r="A85" s="39" t="s">
        <v>63</v>
      </c>
      <c r="B85" s="51" t="s">
        <v>61</v>
      </c>
      <c r="C85" s="109"/>
      <c r="D85" s="40">
        <f t="shared" si="1"/>
        <v>1320000</v>
      </c>
      <c r="E85" s="41">
        <v>0</v>
      </c>
      <c r="F85" s="44">
        <v>1320000</v>
      </c>
    </row>
    <row r="86" spans="1:6" ht="38.25">
      <c r="A86" s="101" t="s">
        <v>64</v>
      </c>
      <c r="B86" s="49" t="s">
        <v>65</v>
      </c>
      <c r="C86" s="109"/>
      <c r="D86" s="40">
        <f t="shared" si="1"/>
        <v>970000</v>
      </c>
      <c r="E86" s="41">
        <v>0</v>
      </c>
      <c r="F86" s="40">
        <f>530000+440000</f>
        <v>970000</v>
      </c>
    </row>
    <row r="87" spans="1:6" ht="38.25">
      <c r="A87" s="102"/>
      <c r="B87" s="49" t="s">
        <v>296</v>
      </c>
      <c r="C87" s="109"/>
      <c r="D87" s="40">
        <f t="shared" si="1"/>
        <v>79560</v>
      </c>
      <c r="E87" s="41"/>
      <c r="F87" s="40">
        <v>79560</v>
      </c>
    </row>
    <row r="88" spans="1:6" ht="25.5">
      <c r="A88" s="103"/>
      <c r="B88" s="49" t="s">
        <v>39</v>
      </c>
      <c r="C88" s="109"/>
      <c r="D88" s="40">
        <f t="shared" si="1"/>
        <v>781200</v>
      </c>
      <c r="E88" s="41">
        <v>0</v>
      </c>
      <c r="F88" s="40">
        <v>781200</v>
      </c>
    </row>
    <row r="89" spans="1:6" ht="25.5">
      <c r="A89" s="111" t="s">
        <v>66</v>
      </c>
      <c r="B89" s="52" t="s">
        <v>39</v>
      </c>
      <c r="C89" s="109"/>
      <c r="D89" s="40">
        <f t="shared" si="1"/>
        <v>1663274</v>
      </c>
      <c r="E89" s="41">
        <v>0</v>
      </c>
      <c r="F89" s="40">
        <v>1663274</v>
      </c>
    </row>
    <row r="90" spans="1:6">
      <c r="A90" s="112"/>
      <c r="B90" s="52" t="s">
        <v>266</v>
      </c>
      <c r="C90" s="109"/>
      <c r="D90" s="40">
        <f t="shared" si="1"/>
        <v>185740</v>
      </c>
      <c r="E90" s="41"/>
      <c r="F90" s="40">
        <v>185740</v>
      </c>
    </row>
    <row r="91" spans="1:6">
      <c r="A91" s="112"/>
      <c r="B91" s="52" t="s">
        <v>23</v>
      </c>
      <c r="C91" s="109"/>
      <c r="D91" s="40">
        <f t="shared" si="1"/>
        <v>99829</v>
      </c>
      <c r="E91" s="41"/>
      <c r="F91" s="40">
        <v>99829</v>
      </c>
    </row>
    <row r="92" spans="1:6" ht="38.25">
      <c r="A92" s="113"/>
      <c r="B92" s="52" t="s">
        <v>265</v>
      </c>
      <c r="C92" s="109"/>
      <c r="D92" s="40">
        <f t="shared" si="1"/>
        <v>395860</v>
      </c>
      <c r="E92" s="41"/>
      <c r="F92" s="40">
        <f>23000+372860</f>
        <v>395860</v>
      </c>
    </row>
    <row r="93" spans="1:6" ht="25.5">
      <c r="A93" s="101" t="s">
        <v>67</v>
      </c>
      <c r="B93" s="52" t="str">
        <f>B13</f>
        <v>Установка стационарной тревожной кнопки</v>
      </c>
      <c r="C93" s="109"/>
      <c r="D93" s="40">
        <f t="shared" si="1"/>
        <v>26348.63</v>
      </c>
      <c r="E93" s="41">
        <v>0</v>
      </c>
      <c r="F93" s="40">
        <v>26348.63</v>
      </c>
    </row>
    <row r="94" spans="1:6" ht="62.25" customHeight="1">
      <c r="A94" s="102"/>
      <c r="B94" s="51" t="s">
        <v>264</v>
      </c>
      <c r="C94" s="109"/>
      <c r="D94" s="40">
        <f t="shared" si="1"/>
        <v>1563920.4</v>
      </c>
      <c r="E94" s="41">
        <v>0</v>
      </c>
      <c r="F94" s="44">
        <v>1563920.4</v>
      </c>
    </row>
    <row r="95" spans="1:6" ht="25.5">
      <c r="A95" s="103"/>
      <c r="B95" s="49" t="s">
        <v>39</v>
      </c>
      <c r="C95" s="109"/>
      <c r="D95" s="40">
        <f t="shared" si="1"/>
        <v>419250</v>
      </c>
      <c r="E95" s="41">
        <v>0</v>
      </c>
      <c r="F95" s="40">
        <v>419250</v>
      </c>
    </row>
    <row r="96" spans="1:6" ht="25.5">
      <c r="A96" s="45" t="s">
        <v>68</v>
      </c>
      <c r="B96" s="49" t="s">
        <v>39</v>
      </c>
      <c r="C96" s="109"/>
      <c r="D96" s="40">
        <f t="shared" si="1"/>
        <v>557100</v>
      </c>
      <c r="E96" s="41">
        <v>0</v>
      </c>
      <c r="F96" s="40">
        <v>557100</v>
      </c>
    </row>
    <row r="97" spans="1:6">
      <c r="A97" s="101" t="s">
        <v>69</v>
      </c>
      <c r="B97" s="49" t="s">
        <v>70</v>
      </c>
      <c r="C97" s="109"/>
      <c r="D97" s="40">
        <f t="shared" si="1"/>
        <v>230700</v>
      </c>
      <c r="E97" s="41">
        <v>0</v>
      </c>
      <c r="F97" s="40">
        <f>142500+88200</f>
        <v>230700</v>
      </c>
    </row>
    <row r="98" spans="1:6" ht="25.5">
      <c r="A98" s="102"/>
      <c r="B98" s="49" t="s">
        <v>71</v>
      </c>
      <c r="C98" s="109"/>
      <c r="D98" s="40">
        <f t="shared" si="1"/>
        <v>65000</v>
      </c>
      <c r="E98" s="41">
        <v>0</v>
      </c>
      <c r="F98" s="40">
        <f>26000+39000</f>
        <v>65000</v>
      </c>
    </row>
    <row r="99" spans="1:6">
      <c r="A99" s="102"/>
      <c r="B99" s="51" t="s">
        <v>61</v>
      </c>
      <c r="C99" s="109"/>
      <c r="D99" s="40">
        <f t="shared" si="1"/>
        <v>424489</v>
      </c>
      <c r="E99" s="41">
        <v>0</v>
      </c>
      <c r="F99" s="44">
        <v>424489</v>
      </c>
    </row>
    <row r="100" spans="1:6">
      <c r="A100" s="102"/>
      <c r="B100" s="51" t="s">
        <v>256</v>
      </c>
      <c r="C100" s="109"/>
      <c r="D100" s="40">
        <f t="shared" si="1"/>
        <v>477800</v>
      </c>
      <c r="E100" s="41">
        <v>0</v>
      </c>
      <c r="F100" s="44">
        <v>477800</v>
      </c>
    </row>
    <row r="101" spans="1:6" ht="25.5">
      <c r="A101" s="103"/>
      <c r="B101" s="49" t="s">
        <v>39</v>
      </c>
      <c r="C101" s="109"/>
      <c r="D101" s="40">
        <f t="shared" si="1"/>
        <v>414700</v>
      </c>
      <c r="E101" s="41">
        <v>0</v>
      </c>
      <c r="F101" s="40">
        <v>414700</v>
      </c>
    </row>
    <row r="102" spans="1:6">
      <c r="A102" s="39" t="s">
        <v>72</v>
      </c>
      <c r="B102" s="49" t="s">
        <v>61</v>
      </c>
      <c r="C102" s="109"/>
      <c r="D102" s="40">
        <f t="shared" si="1"/>
        <v>940000</v>
      </c>
      <c r="E102" s="41">
        <v>0</v>
      </c>
      <c r="F102" s="44">
        <v>940000</v>
      </c>
    </row>
    <row r="103" spans="1:6" ht="51">
      <c r="A103" s="39" t="s">
        <v>73</v>
      </c>
      <c r="B103" s="49" t="s">
        <v>74</v>
      </c>
      <c r="C103" s="109"/>
      <c r="D103" s="40">
        <f t="shared" si="1"/>
        <v>1500000</v>
      </c>
      <c r="E103" s="41">
        <v>0</v>
      </c>
      <c r="F103" s="40">
        <v>1500000</v>
      </c>
    </row>
    <row r="104" spans="1:6" ht="51">
      <c r="A104" s="101" t="s">
        <v>75</v>
      </c>
      <c r="B104" s="49" t="s">
        <v>274</v>
      </c>
      <c r="C104" s="109"/>
      <c r="D104" s="40">
        <f t="shared" si="1"/>
        <v>1489142.3</v>
      </c>
      <c r="E104" s="41">
        <v>0</v>
      </c>
      <c r="F104" s="43">
        <v>1489142.3</v>
      </c>
    </row>
    <row r="105" spans="1:6" ht="25.5">
      <c r="A105" s="103"/>
      <c r="B105" s="49" t="s">
        <v>39</v>
      </c>
      <c r="C105" s="109"/>
      <c r="D105" s="40">
        <f t="shared" si="1"/>
        <v>345000</v>
      </c>
      <c r="E105" s="41">
        <v>0</v>
      </c>
      <c r="F105" s="43">
        <v>345000</v>
      </c>
    </row>
    <row r="106" spans="1:6" ht="25.5">
      <c r="A106" s="101" t="s">
        <v>76</v>
      </c>
      <c r="B106" s="49" t="s">
        <v>39</v>
      </c>
      <c r="C106" s="109"/>
      <c r="D106" s="40">
        <f t="shared" si="1"/>
        <v>879600</v>
      </c>
      <c r="E106" s="41">
        <v>0</v>
      </c>
      <c r="F106" s="43">
        <v>879600</v>
      </c>
    </row>
    <row r="107" spans="1:6">
      <c r="A107" s="103"/>
      <c r="B107" s="49" t="str">
        <f>B102</f>
        <v>Монтаж охранной сигнализации</v>
      </c>
      <c r="C107" s="109"/>
      <c r="D107" s="40">
        <f t="shared" si="1"/>
        <v>490258.76</v>
      </c>
      <c r="E107" s="41"/>
      <c r="F107" s="43">
        <v>490258.76</v>
      </c>
    </row>
    <row r="108" spans="1:6" ht="25.5">
      <c r="A108" s="101" t="s">
        <v>77</v>
      </c>
      <c r="B108" s="49" t="s">
        <v>78</v>
      </c>
      <c r="C108" s="109"/>
      <c r="D108" s="40">
        <f t="shared" si="1"/>
        <v>1162574.92</v>
      </c>
      <c r="E108" s="41">
        <v>0</v>
      </c>
      <c r="F108" s="43">
        <v>1162574.92</v>
      </c>
    </row>
    <row r="109" spans="1:6" ht="25.5">
      <c r="A109" s="102"/>
      <c r="B109" s="49" t="str">
        <f>B106</f>
        <v>Обеспечение физической квалифицированной охраной</v>
      </c>
      <c r="C109" s="109"/>
      <c r="D109" s="40">
        <f t="shared" si="1"/>
        <v>597840</v>
      </c>
      <c r="E109" s="41">
        <v>0</v>
      </c>
      <c r="F109" s="43">
        <v>597840</v>
      </c>
    </row>
    <row r="110" spans="1:6" ht="51">
      <c r="A110" s="102"/>
      <c r="B110" s="49" t="s">
        <v>200</v>
      </c>
      <c r="C110" s="109"/>
      <c r="D110" s="40">
        <f t="shared" si="1"/>
        <v>155963</v>
      </c>
      <c r="E110" s="41">
        <v>0</v>
      </c>
      <c r="F110" s="43">
        <v>155963</v>
      </c>
    </row>
    <row r="111" spans="1:6">
      <c r="A111" s="102"/>
      <c r="B111" s="49" t="s">
        <v>79</v>
      </c>
      <c r="C111" s="109"/>
      <c r="D111" s="40">
        <f t="shared" si="1"/>
        <v>79016.7</v>
      </c>
      <c r="E111" s="41">
        <v>0</v>
      </c>
      <c r="F111" s="43">
        <v>79016.7</v>
      </c>
    </row>
    <row r="112" spans="1:6" ht="25.5">
      <c r="A112" s="102"/>
      <c r="B112" s="49" t="s">
        <v>80</v>
      </c>
      <c r="C112" s="109"/>
      <c r="D112" s="40">
        <f t="shared" si="1"/>
        <v>166667</v>
      </c>
      <c r="E112" s="41">
        <v>0</v>
      </c>
      <c r="F112" s="43">
        <v>166667</v>
      </c>
    </row>
    <row r="113" spans="1:8" ht="25.5">
      <c r="A113" s="103"/>
      <c r="B113" s="49" t="s">
        <v>81</v>
      </c>
      <c r="C113" s="109"/>
      <c r="D113" s="40">
        <f t="shared" si="1"/>
        <v>4842755.5199999996</v>
      </c>
      <c r="E113" s="41">
        <v>0</v>
      </c>
      <c r="F113" s="43">
        <v>4842755.5199999996</v>
      </c>
    </row>
    <row r="114" spans="1:8" ht="25.5">
      <c r="A114" s="101" t="s">
        <v>82</v>
      </c>
      <c r="B114" s="49" t="str">
        <f>B109</f>
        <v>Обеспечение физической квалифицированной охраной</v>
      </c>
      <c r="C114" s="109"/>
      <c r="D114" s="40">
        <f t="shared" si="1"/>
        <v>1136180</v>
      </c>
      <c r="E114" s="41">
        <v>0</v>
      </c>
      <c r="F114" s="43">
        <v>1136180</v>
      </c>
    </row>
    <row r="115" spans="1:8">
      <c r="A115" s="102"/>
      <c r="B115" s="49" t="s">
        <v>83</v>
      </c>
      <c r="C115" s="109"/>
      <c r="D115" s="40">
        <f t="shared" si="1"/>
        <v>156873</v>
      </c>
      <c r="E115" s="41">
        <v>0</v>
      </c>
      <c r="F115" s="43">
        <v>156873</v>
      </c>
    </row>
    <row r="116" spans="1:8">
      <c r="A116" s="103"/>
      <c r="B116" s="49" t="s">
        <v>84</v>
      </c>
      <c r="C116" s="109"/>
      <c r="D116" s="40">
        <f t="shared" si="1"/>
        <v>122658</v>
      </c>
      <c r="E116" s="41">
        <v>0</v>
      </c>
      <c r="F116" s="43">
        <v>122658</v>
      </c>
    </row>
    <row r="117" spans="1:8" ht="25.5">
      <c r="A117" s="42" t="s">
        <v>85</v>
      </c>
      <c r="B117" s="49" t="str">
        <f>B114</f>
        <v>Обеспечение физической квалифицированной охраной</v>
      </c>
      <c r="C117" s="109"/>
      <c r="D117" s="40">
        <f t="shared" si="1"/>
        <v>605020.80000000005</v>
      </c>
      <c r="E117" s="41">
        <v>0</v>
      </c>
      <c r="F117" s="43">
        <v>605020.80000000005</v>
      </c>
    </row>
    <row r="118" spans="1:8" ht="25.5">
      <c r="A118" s="42" t="s">
        <v>86</v>
      </c>
      <c r="B118" s="49" t="s">
        <v>87</v>
      </c>
      <c r="C118" s="109"/>
      <c r="D118" s="40">
        <f t="shared" si="1"/>
        <v>696632</v>
      </c>
      <c r="E118" s="41">
        <v>0</v>
      </c>
      <c r="F118" s="43">
        <v>696632</v>
      </c>
    </row>
    <row r="119" spans="1:8" ht="38.25">
      <c r="A119" s="42" t="s">
        <v>233</v>
      </c>
      <c r="B119" s="53" t="s">
        <v>282</v>
      </c>
      <c r="C119" s="110"/>
      <c r="D119" s="40">
        <f t="shared" si="1"/>
        <v>9216085.1899999995</v>
      </c>
      <c r="E119" s="41">
        <v>0</v>
      </c>
      <c r="F119" s="43">
        <f>7715990+1213858.28+165122.19+61738.72+105976-46600</f>
        <v>9216085.1899999995</v>
      </c>
    </row>
    <row r="120" spans="1:8">
      <c r="A120" s="104" t="s">
        <v>88</v>
      </c>
      <c r="B120" s="104"/>
      <c r="C120" s="105"/>
      <c r="D120" s="40">
        <f t="shared" ref="D120:D128" si="2">E120+F120</f>
        <v>53329699</v>
      </c>
      <c r="E120" s="40">
        <f>SUM(E13:E119)</f>
        <v>0</v>
      </c>
      <c r="F120" s="40">
        <f>SUM(F13:F119)</f>
        <v>53329699</v>
      </c>
    </row>
    <row r="121" spans="1:8">
      <c r="A121" s="46" t="s">
        <v>50</v>
      </c>
      <c r="B121" s="106" t="s">
        <v>39</v>
      </c>
      <c r="C121" s="107" t="s">
        <v>89</v>
      </c>
      <c r="D121" s="40">
        <f t="shared" si="2"/>
        <v>662500</v>
      </c>
      <c r="E121" s="47">
        <v>544730</v>
      </c>
      <c r="F121" s="40">
        <v>117770</v>
      </c>
      <c r="G121" s="64"/>
      <c r="H121" s="26"/>
    </row>
    <row r="122" spans="1:8">
      <c r="A122" s="48" t="s">
        <v>63</v>
      </c>
      <c r="B122" s="106"/>
      <c r="C122" s="107"/>
      <c r="D122" s="40">
        <f t="shared" si="2"/>
        <v>523422.6</v>
      </c>
      <c r="E122" s="47">
        <v>430380</v>
      </c>
      <c r="F122" s="40">
        <v>93042.6</v>
      </c>
    </row>
    <row r="123" spans="1:8">
      <c r="A123" s="48" t="s">
        <v>90</v>
      </c>
      <c r="B123" s="106"/>
      <c r="C123" s="107"/>
      <c r="D123" s="40">
        <f t="shared" si="2"/>
        <v>878475</v>
      </c>
      <c r="E123" s="47">
        <v>722310</v>
      </c>
      <c r="F123" s="40">
        <v>156165</v>
      </c>
    </row>
    <row r="124" spans="1:8">
      <c r="A124" s="48" t="s">
        <v>91</v>
      </c>
      <c r="B124" s="106"/>
      <c r="C124" s="107"/>
      <c r="D124" s="40">
        <f t="shared" si="2"/>
        <v>695175</v>
      </c>
      <c r="E124" s="47">
        <v>571600</v>
      </c>
      <c r="F124" s="40">
        <v>123575</v>
      </c>
    </row>
    <row r="125" spans="1:8">
      <c r="A125" s="48" t="s">
        <v>92</v>
      </c>
      <c r="B125" s="106"/>
      <c r="C125" s="107"/>
      <c r="D125" s="40">
        <f t="shared" si="2"/>
        <v>697155</v>
      </c>
      <c r="E125" s="47">
        <v>573220</v>
      </c>
      <c r="F125" s="40">
        <v>123935</v>
      </c>
    </row>
    <row r="126" spans="1:8">
      <c r="A126" s="48" t="s">
        <v>93</v>
      </c>
      <c r="B126" s="106"/>
      <c r="C126" s="107"/>
      <c r="D126" s="40">
        <f t="shared" si="2"/>
        <v>989603.7</v>
      </c>
      <c r="E126" s="47">
        <v>813690</v>
      </c>
      <c r="F126" s="40">
        <v>175913.7</v>
      </c>
    </row>
    <row r="127" spans="1:8">
      <c r="A127" s="48" t="s">
        <v>94</v>
      </c>
      <c r="B127" s="106"/>
      <c r="C127" s="107"/>
      <c r="D127" s="40">
        <f t="shared" si="2"/>
        <v>502380</v>
      </c>
      <c r="E127" s="47">
        <v>413070</v>
      </c>
      <c r="F127" s="40">
        <v>89310</v>
      </c>
    </row>
    <row r="128" spans="1:8">
      <c r="A128" s="104" t="s">
        <v>88</v>
      </c>
      <c r="B128" s="104"/>
      <c r="C128" s="105"/>
      <c r="D128" s="40">
        <f t="shared" si="2"/>
        <v>4948711.3</v>
      </c>
      <c r="E128" s="40">
        <f>SUM(E121:E127)</f>
        <v>4069000</v>
      </c>
      <c r="F128" s="40">
        <f>SUM(F121:F127)</f>
        <v>879711.3</v>
      </c>
    </row>
    <row r="129" spans="1:6">
      <c r="A129" s="99" t="s">
        <v>95</v>
      </c>
      <c r="B129" s="99"/>
      <c r="C129" s="100"/>
      <c r="D129" s="40">
        <f>D128+D120</f>
        <v>58278410.299999997</v>
      </c>
      <c r="E129" s="40">
        <f>E128+E120</f>
        <v>4069000</v>
      </c>
      <c r="F129" s="40">
        <f>F128+F120</f>
        <v>54209410.299999997</v>
      </c>
    </row>
  </sheetData>
  <autoFilter ref="A12:F129"/>
  <mergeCells count="41">
    <mergeCell ref="A53:A56"/>
    <mergeCell ref="D9:F9"/>
    <mergeCell ref="A11:A12"/>
    <mergeCell ref="B11:B12"/>
    <mergeCell ref="C11:C12"/>
    <mergeCell ref="D11:D12"/>
    <mergeCell ref="E11:F11"/>
    <mergeCell ref="A45:A47"/>
    <mergeCell ref="A31:A34"/>
    <mergeCell ref="A36:A38"/>
    <mergeCell ref="A40:A41"/>
    <mergeCell ref="A48:A49"/>
    <mergeCell ref="A13:A15"/>
    <mergeCell ref="A80:A82"/>
    <mergeCell ref="A86:A88"/>
    <mergeCell ref="A93:A95"/>
    <mergeCell ref="A97:A101"/>
    <mergeCell ref="A104:A105"/>
    <mergeCell ref="A89:A92"/>
    <mergeCell ref="A83:A84"/>
    <mergeCell ref="A60:A61"/>
    <mergeCell ref="A66:A67"/>
    <mergeCell ref="A68:A70"/>
    <mergeCell ref="A71:A74"/>
    <mergeCell ref="A76:A78"/>
    <mergeCell ref="A8:F8"/>
    <mergeCell ref="D1:F7"/>
    <mergeCell ref="A129:C129"/>
    <mergeCell ref="A108:A113"/>
    <mergeCell ref="A114:A116"/>
    <mergeCell ref="A120:C120"/>
    <mergeCell ref="B121:B127"/>
    <mergeCell ref="C121:C127"/>
    <mergeCell ref="A128:C128"/>
    <mergeCell ref="C13:C119"/>
    <mergeCell ref="A19:A20"/>
    <mergeCell ref="A22:A23"/>
    <mergeCell ref="A25:A26"/>
    <mergeCell ref="A28:A29"/>
    <mergeCell ref="A106:A107"/>
    <mergeCell ref="A57:A59"/>
  </mergeCells>
  <pageMargins left="0.51181102362204722" right="0.31496062992125984" top="0.35433070866141736" bottom="0.35433070866141736" header="0" footer="0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 </vt:lpstr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2023-12-28T09:27:16Z</cp:lastPrinted>
  <dcterms:created xsi:type="dcterms:W3CDTF">2023-08-10T19:03:18Z</dcterms:created>
  <dcterms:modified xsi:type="dcterms:W3CDTF">2023-12-29T06:49:31Z</dcterms:modified>
</cp:coreProperties>
</file>